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0" documentId="13_ncr:1_{277F126C-78B5-4DF3-87AA-83DC07EDD459}" xr6:coauthVersionLast="47" xr6:coauthVersionMax="47" xr10:uidLastSave="{00000000-0000-0000-0000-000000000000}"/>
  <bookViews>
    <workbookView xWindow="-120" yWindow="-120" windowWidth="24240" windowHeight="13140" xr2:uid="{00000000-000D-0000-FFFF-FFFF00000000}"/>
  </bookViews>
  <sheets>
    <sheet name="Загальний" sheetId="1" r:id="rId1"/>
    <sheet name="Лист1" sheetId="2" r:id="rId2"/>
    <sheet name="Лист2" sheetId="3" r:id="rId3"/>
    <sheet name="Лист3" sheetId="4" r:id="rId4"/>
    <sheet name="Лист4" sheetId="5" r:id="rId5"/>
    <sheet name="Лист5" sheetId="6" r:id="rId6"/>
    <sheet name="Лист6" sheetId="7" r:id="rId7"/>
    <sheet name="Лист7" sheetId="8" r:id="rId8"/>
    <sheet name="Лист8" sheetId="9" r:id="rId9"/>
    <sheet name="Лист9" sheetId="10" r:id="rId10"/>
    <sheet name="Лист10" sheetId="11" r:id="rId11"/>
    <sheet name="Лист11" sheetId="12" r:id="rId12"/>
    <sheet name="Лист12" sheetId="13" r:id="rId13"/>
    <sheet name="Лист13" sheetId="14" r:id="rId14"/>
    <sheet name="Лист14" sheetId="15" r:id="rId15"/>
    <sheet name="Лист15" sheetId="16" r:id="rId16"/>
    <sheet name="Лист16_гуртожитки" sheetId="17" r:id="rId17"/>
  </sheets>
  <externalReferences>
    <externalReference r:id="rId1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5" i="17" l="1"/>
  <c r="G97" i="17"/>
  <c r="G90" i="17"/>
  <c r="G51" i="17"/>
  <c r="G47" i="17"/>
  <c r="G10" i="17"/>
  <c r="G15" i="17"/>
  <c r="G22" i="17"/>
  <c r="G29" i="17"/>
  <c r="G14" i="17"/>
  <c r="G123" i="16"/>
  <c r="G132" i="16"/>
  <c r="G135" i="16"/>
  <c r="Q86" i="16"/>
  <c r="Q47" i="16"/>
  <c r="Q21" i="16"/>
  <c r="Q14" i="16"/>
  <c r="Q9" i="16"/>
  <c r="G14" i="16"/>
  <c r="G21" i="16"/>
  <c r="G9" i="16"/>
  <c r="Q253" i="15"/>
  <c r="Q260" i="15"/>
  <c r="Q241" i="15"/>
  <c r="G253" i="15"/>
  <c r="G246" i="15"/>
  <c r="G241" i="15"/>
  <c r="Q214" i="15"/>
  <c r="Q207" i="15"/>
  <c r="Q202" i="15"/>
  <c r="G214" i="15"/>
  <c r="G207" i="15"/>
  <c r="G202" i="15"/>
  <c r="Q175" i="15"/>
  <c r="Q168" i="15"/>
  <c r="Q163" i="15"/>
  <c r="G175" i="15"/>
  <c r="G168" i="15"/>
  <c r="G163" i="15"/>
  <c r="Q136" i="15"/>
  <c r="Q129" i="15"/>
  <c r="Q124" i="15"/>
  <c r="G136" i="15"/>
  <c r="G129" i="15"/>
  <c r="G124" i="15"/>
  <c r="Q98" i="15"/>
  <c r="Q91" i="15"/>
  <c r="Q86" i="15"/>
  <c r="G98" i="15"/>
  <c r="G91" i="15"/>
  <c r="G86" i="15"/>
  <c r="Q59" i="15"/>
  <c r="Q52" i="15"/>
  <c r="Q47" i="15"/>
  <c r="G59" i="15"/>
  <c r="G52" i="15"/>
  <c r="G47" i="15"/>
  <c r="Q9" i="15"/>
  <c r="Q14" i="15"/>
  <c r="Q21" i="15"/>
  <c r="G21" i="15"/>
  <c r="G14" i="15"/>
  <c r="G9" i="15"/>
  <c r="Q248" i="14"/>
  <c r="Q255" i="14"/>
  <c r="Q243" i="14"/>
  <c r="G255" i="14"/>
  <c r="G248" i="14"/>
  <c r="G243" i="14"/>
  <c r="Q216" i="14"/>
  <c r="Q209" i="14"/>
  <c r="Q204" i="14"/>
  <c r="G216" i="14"/>
  <c r="G209" i="14"/>
  <c r="G204" i="14"/>
  <c r="Q177" i="14"/>
  <c r="Q170" i="14"/>
  <c r="G177" i="14"/>
  <c r="G170" i="14"/>
  <c r="G165" i="14"/>
  <c r="Q138" i="14"/>
  <c r="Q131" i="14"/>
  <c r="Q126" i="14"/>
  <c r="G126" i="14"/>
  <c r="G138" i="14"/>
  <c r="G131" i="14"/>
  <c r="Q99" i="14"/>
  <c r="Q92" i="14"/>
  <c r="Q87" i="14"/>
  <c r="G99" i="14"/>
  <c r="G92" i="14"/>
  <c r="G87" i="14"/>
  <c r="Q59" i="14"/>
  <c r="Q52" i="14"/>
  <c r="Q47" i="14"/>
  <c r="G59" i="14"/>
  <c r="G52" i="14"/>
  <c r="G47" i="14"/>
  <c r="Q9" i="14"/>
  <c r="Q21" i="14"/>
  <c r="Q14" i="14"/>
  <c r="G21" i="14"/>
  <c r="G14" i="14"/>
  <c r="G9" i="14"/>
  <c r="Q256" i="13"/>
  <c r="Q249" i="13"/>
  <c r="Q244" i="13"/>
  <c r="G256" i="13"/>
  <c r="G249" i="13"/>
  <c r="G244" i="13"/>
  <c r="Q216" i="13"/>
  <c r="Q209" i="13"/>
  <c r="Q204" i="13"/>
  <c r="G216" i="13"/>
  <c r="G204" i="13"/>
  <c r="Q176" i="13"/>
  <c r="Q169" i="13"/>
  <c r="Q164" i="13"/>
  <c r="G176" i="13"/>
  <c r="G169" i="13"/>
  <c r="G164" i="13"/>
  <c r="Q138" i="13"/>
  <c r="Q131" i="13"/>
  <c r="Q126" i="13"/>
  <c r="G138" i="13"/>
  <c r="G131" i="13"/>
  <c r="G126" i="13"/>
  <c r="Q92" i="13"/>
  <c r="Q99" i="13"/>
  <c r="Q87" i="13"/>
  <c r="G99" i="13"/>
  <c r="G92" i="13"/>
  <c r="G87" i="13"/>
  <c r="Q59" i="13"/>
  <c r="Q52" i="13"/>
  <c r="Q47" i="13"/>
  <c r="G59" i="13"/>
  <c r="G52" i="13"/>
  <c r="G47" i="13"/>
  <c r="Q21" i="13"/>
  <c r="Q14" i="13"/>
  <c r="Q9" i="13"/>
  <c r="G21" i="13"/>
  <c r="G14" i="13"/>
  <c r="G9" i="13"/>
  <c r="Q255" i="12"/>
  <c r="Q248" i="12"/>
  <c r="Q243" i="12"/>
  <c r="G255" i="12"/>
  <c r="G248" i="12"/>
  <c r="G243" i="12"/>
  <c r="Q217" i="12"/>
  <c r="Q210" i="12"/>
  <c r="Q205" i="12"/>
  <c r="G217" i="12"/>
  <c r="G210" i="12"/>
  <c r="G205" i="12"/>
  <c r="Q178" i="12"/>
  <c r="Q171" i="12"/>
  <c r="Q166" i="12"/>
  <c r="G178" i="12"/>
  <c r="G171" i="12"/>
  <c r="G166" i="12"/>
  <c r="Q139" i="12"/>
  <c r="Q132" i="12"/>
  <c r="Q127" i="12"/>
  <c r="G139" i="12"/>
  <c r="G132" i="12"/>
  <c r="G127" i="12"/>
  <c r="Q100" i="12"/>
  <c r="Q93" i="12"/>
  <c r="Q88" i="12"/>
  <c r="G100" i="12"/>
  <c r="G93" i="12"/>
  <c r="G88" i="12"/>
  <c r="Q61" i="12"/>
  <c r="Q54" i="12"/>
  <c r="Q49" i="12"/>
  <c r="G61" i="12"/>
  <c r="G54" i="12"/>
  <c r="G49" i="12"/>
  <c r="Q21" i="12"/>
  <c r="Q14" i="12"/>
  <c r="Q9" i="12"/>
  <c r="G9" i="12"/>
  <c r="G14" i="12"/>
  <c r="G21" i="12"/>
  <c r="Q249" i="11"/>
  <c r="Q242" i="11"/>
  <c r="Q237" i="11"/>
  <c r="G237" i="11"/>
  <c r="G249" i="11"/>
  <c r="G242" i="11"/>
  <c r="Q209" i="11"/>
  <c r="Q202" i="11"/>
  <c r="Q197" i="11"/>
  <c r="G209" i="11"/>
  <c r="G202" i="11"/>
  <c r="G197" i="11"/>
  <c r="Q171" i="11"/>
  <c r="Q164" i="11"/>
  <c r="Q159" i="11"/>
  <c r="G171" i="11"/>
  <c r="G164" i="11"/>
  <c r="G159" i="11"/>
  <c r="Q133" i="11"/>
  <c r="Q126" i="11"/>
  <c r="Q121" i="11"/>
  <c r="G133" i="11"/>
  <c r="G126" i="11"/>
  <c r="G121" i="11"/>
  <c r="Q97" i="11"/>
  <c r="Q90" i="11"/>
  <c r="Q85" i="11"/>
  <c r="G97" i="11"/>
  <c r="G90" i="11"/>
  <c r="G85" i="11"/>
  <c r="Q60" i="11"/>
  <c r="Q53" i="11"/>
  <c r="Q48" i="11"/>
  <c r="G60" i="11"/>
  <c r="G53" i="11"/>
  <c r="G48" i="11"/>
  <c r="Q21" i="11"/>
  <c r="Q14" i="11"/>
  <c r="Q9" i="11"/>
  <c r="G9" i="11"/>
  <c r="G21" i="11"/>
  <c r="G14" i="11"/>
  <c r="Q252" i="8" l="1"/>
  <c r="Q245" i="8"/>
  <c r="Q240" i="8"/>
  <c r="G252" i="8"/>
  <c r="G245" i="8"/>
  <c r="G240" i="8"/>
  <c r="Q213" i="8"/>
  <c r="Q206" i="8"/>
  <c r="Q201" i="8"/>
  <c r="G213" i="8"/>
  <c r="G206" i="8"/>
  <c r="G201" i="8"/>
  <c r="Q174" i="8"/>
  <c r="Q167" i="8"/>
  <c r="Q162" i="8"/>
  <c r="G174" i="8"/>
  <c r="G167" i="8"/>
  <c r="G162" i="8"/>
  <c r="Q135" i="8"/>
  <c r="Q128" i="8"/>
  <c r="Q123" i="8"/>
  <c r="G142" i="8"/>
  <c r="G135" i="8"/>
  <c r="G128" i="8"/>
  <c r="G127" i="8"/>
  <c r="G123" i="8"/>
  <c r="Q96" i="8"/>
  <c r="Q89" i="8"/>
  <c r="Q84" i="8"/>
  <c r="G96" i="8"/>
  <c r="G89" i="8"/>
  <c r="G84" i="8"/>
  <c r="Q60" i="8"/>
  <c r="Q53" i="8"/>
  <c r="Q48" i="8"/>
  <c r="G53" i="8"/>
  <c r="G60" i="8"/>
  <c r="G48" i="8"/>
  <c r="Q9" i="8"/>
  <c r="Q14" i="8"/>
  <c r="Q21" i="8"/>
  <c r="G21" i="8"/>
  <c r="G14" i="8"/>
  <c r="G9" i="8"/>
  <c r="Q21" i="7"/>
  <c r="Q14" i="7"/>
  <c r="Q9" i="7"/>
  <c r="G14" i="7"/>
  <c r="G9" i="7"/>
  <c r="G21" i="7"/>
  <c r="Q46" i="7"/>
  <c r="Q58" i="7"/>
  <c r="Q51" i="7"/>
  <c r="G46" i="7"/>
  <c r="G58" i="7"/>
  <c r="G51" i="7"/>
  <c r="Q95" i="7"/>
  <c r="Q88" i="7"/>
  <c r="Q83" i="7"/>
  <c r="G95" i="7"/>
  <c r="G88" i="7"/>
  <c r="G83" i="7"/>
  <c r="Q132" i="7"/>
  <c r="Q125" i="7"/>
  <c r="Q120" i="7"/>
  <c r="G132" i="7"/>
  <c r="G120" i="7"/>
  <c r="G125" i="7"/>
  <c r="Q169" i="7"/>
  <c r="Q162" i="7"/>
  <c r="Q157" i="7"/>
  <c r="G169" i="7"/>
  <c r="G162" i="7"/>
  <c r="G157" i="7"/>
  <c r="Q207" i="7"/>
  <c r="Q200" i="7"/>
  <c r="Q195" i="7"/>
  <c r="G207" i="7"/>
  <c r="G200" i="7"/>
  <c r="G195" i="7"/>
  <c r="Q246" i="7"/>
  <c r="Q239" i="7"/>
  <c r="Q234" i="7"/>
  <c r="G246" i="7"/>
  <c r="G239" i="7"/>
  <c r="G234" i="7"/>
  <c r="Q249" i="6"/>
  <c r="Q242" i="6"/>
  <c r="Q237" i="6"/>
  <c r="G249" i="6"/>
  <c r="G242" i="6"/>
  <c r="G237" i="6"/>
  <c r="G210" i="6"/>
  <c r="G203" i="6"/>
  <c r="G198" i="6"/>
  <c r="Q170" i="6"/>
  <c r="Q163" i="6"/>
  <c r="Q158" i="6"/>
  <c r="G170" i="6"/>
  <c r="G163" i="6"/>
  <c r="G158" i="6"/>
  <c r="Q133" i="6"/>
  <c r="Q126" i="6"/>
  <c r="Q121" i="6"/>
  <c r="G133" i="6"/>
  <c r="G126" i="6"/>
  <c r="G121" i="6"/>
  <c r="Q96" i="6"/>
  <c r="Q89" i="6"/>
  <c r="Q84" i="6"/>
  <c r="G96" i="6"/>
  <c r="G89" i="6"/>
  <c r="G84" i="6"/>
  <c r="Q51" i="6"/>
  <c r="Q58" i="6"/>
  <c r="Q46" i="6"/>
  <c r="G58" i="6"/>
  <c r="G51" i="6"/>
  <c r="G46" i="6"/>
  <c r="Q21" i="6"/>
  <c r="Q14" i="6"/>
  <c r="Q9" i="6"/>
  <c r="G21" i="6"/>
  <c r="G14" i="6"/>
  <c r="G9" i="6"/>
  <c r="Q206" i="4"/>
  <c r="Q199" i="4"/>
  <c r="Q194" i="4"/>
  <c r="G206" i="4"/>
  <c r="G199" i="4"/>
  <c r="G194" i="4"/>
  <c r="Q169" i="4"/>
  <c r="Q162" i="4"/>
  <c r="Q157" i="4"/>
  <c r="G162" i="4"/>
  <c r="G157" i="4"/>
  <c r="G169" i="4"/>
  <c r="Q130" i="4"/>
  <c r="Q123" i="4"/>
  <c r="Q118" i="4"/>
  <c r="G118" i="4"/>
  <c r="G130" i="4"/>
  <c r="G123" i="4"/>
  <c r="Q85" i="4"/>
  <c r="Q81" i="4"/>
  <c r="Q93" i="4"/>
  <c r="Q86" i="4"/>
  <c r="G81" i="4"/>
  <c r="G93" i="4"/>
  <c r="Q57" i="4"/>
  <c r="Q50" i="4"/>
  <c r="Q45" i="4"/>
  <c r="G57" i="4"/>
  <c r="G50" i="4"/>
  <c r="G45" i="4"/>
  <c r="Q21" i="4"/>
  <c r="Q14" i="4"/>
  <c r="Q9" i="4"/>
  <c r="G21" i="4"/>
  <c r="G14" i="4"/>
  <c r="G9" i="4"/>
  <c r="Q28" i="3"/>
  <c r="Q13" i="3"/>
  <c r="Q9" i="3"/>
  <c r="Q14" i="3"/>
  <c r="G250" i="2"/>
  <c r="G243" i="2"/>
  <c r="G238" i="2"/>
  <c r="P215" i="2"/>
  <c r="P208" i="2"/>
  <c r="P203" i="2"/>
  <c r="G213" i="2"/>
  <c r="G206" i="2"/>
  <c r="G201" i="2"/>
  <c r="P177" i="2"/>
  <c r="P170" i="2"/>
  <c r="P165" i="2"/>
  <c r="G175" i="2"/>
  <c r="G168" i="2"/>
  <c r="G163" i="2"/>
  <c r="P140" i="2"/>
  <c r="P133" i="2"/>
  <c r="P128" i="2"/>
  <c r="G138" i="2"/>
  <c r="G131" i="2"/>
  <c r="G126" i="2"/>
  <c r="P96" i="2"/>
  <c r="P103" i="2"/>
  <c r="P91" i="2"/>
  <c r="G101" i="2"/>
  <c r="G94" i="2"/>
  <c r="G89" i="2"/>
  <c r="P55" i="2"/>
  <c r="P62" i="2"/>
  <c r="P50" i="2"/>
  <c r="G48" i="2"/>
  <c r="G53" i="2"/>
  <c r="P10" i="2"/>
  <c r="P23" i="2"/>
  <c r="P15" i="2"/>
  <c r="G23" i="2"/>
  <c r="G15" i="2"/>
  <c r="G10" i="2"/>
  <c r="G128" i="16"/>
  <c r="G127" i="16"/>
  <c r="G144" i="16" l="1"/>
  <c r="G145" i="16" s="1"/>
  <c r="P53" i="2" l="1"/>
  <c r="P54" i="2"/>
  <c r="P71" i="2" s="1"/>
  <c r="P72" i="2" s="1"/>
  <c r="P59" i="2"/>
  <c r="P69" i="2"/>
  <c r="G94" i="17" l="1"/>
  <c r="G89" i="17"/>
  <c r="G106" i="17" s="1"/>
  <c r="G107" i="17" s="1"/>
  <c r="G59" i="17"/>
  <c r="G56" i="17"/>
  <c r="G68" i="17" s="1"/>
  <c r="G69" i="17" s="1"/>
  <c r="G52" i="17"/>
  <c r="G19" i="17"/>
  <c r="G13" i="17"/>
  <c r="G31" i="17" s="1"/>
  <c r="G32" i="17" s="1"/>
  <c r="G107" i="16"/>
  <c r="G108" i="16" s="1"/>
  <c r="Q107" i="16"/>
  <c r="Q108" i="16" s="1"/>
  <c r="G68" i="16"/>
  <c r="G69" i="16" s="1"/>
  <c r="Q68" i="16"/>
  <c r="Q69" i="16" s="1"/>
  <c r="Q13" i="16"/>
  <c r="G13" i="16"/>
  <c r="Q30" i="16"/>
  <c r="Q31" i="16" s="1"/>
  <c r="G30" i="16"/>
  <c r="G31" i="16" s="1"/>
  <c r="Q250" i="15"/>
  <c r="Q246" i="15"/>
  <c r="Q245" i="15"/>
  <c r="Q262" i="15" s="1"/>
  <c r="Q263" i="15" s="1"/>
  <c r="G245" i="15"/>
  <c r="G262" i="15" s="1"/>
  <c r="G263" i="15" s="1"/>
  <c r="Q206" i="15"/>
  <c r="Q223" i="15" s="1"/>
  <c r="Q224" i="15" s="1"/>
  <c r="G206" i="15"/>
  <c r="G223" i="15" s="1"/>
  <c r="G224" i="15" s="1"/>
  <c r="G172" i="15"/>
  <c r="G184" i="15" s="1"/>
  <c r="G185" i="15" s="1"/>
  <c r="Q167" i="15"/>
  <c r="G167" i="15"/>
  <c r="Q184" i="15"/>
  <c r="Q185" i="15" s="1"/>
  <c r="Q145" i="15"/>
  <c r="Q146" i="15" s="1"/>
  <c r="G133" i="15"/>
  <c r="Q128" i="15"/>
  <c r="G128" i="15"/>
  <c r="G145" i="15"/>
  <c r="G146" i="15" s="1"/>
  <c r="Q95" i="15"/>
  <c r="G95" i="15"/>
  <c r="Q90" i="15"/>
  <c r="Q107" i="15" s="1"/>
  <c r="Q108" i="15" s="1"/>
  <c r="G90" i="15"/>
  <c r="G107" i="15" s="1"/>
  <c r="G108" i="15" s="1"/>
  <c r="G68" i="15"/>
  <c r="G69" i="15" s="1"/>
  <c r="Q56" i="15"/>
  <c r="Q68" i="15" s="1"/>
  <c r="Q69" i="15" s="1"/>
  <c r="Q51" i="15"/>
  <c r="G51" i="15"/>
  <c r="Q18" i="15"/>
  <c r="G18" i="15"/>
  <c r="Q13" i="15"/>
  <c r="G13" i="15"/>
  <c r="G30" i="15" s="1"/>
  <c r="G31" i="15" s="1"/>
  <c r="Q30" i="15"/>
  <c r="Q31" i="15" s="1"/>
  <c r="Q247" i="14"/>
  <c r="G247" i="14"/>
  <c r="G264" i="14" s="1"/>
  <c r="G265" i="14" s="1"/>
  <c r="Q264" i="14"/>
  <c r="Q265" i="14" s="1"/>
  <c r="Q208" i="14"/>
  <c r="G208" i="14"/>
  <c r="G225" i="14" s="1"/>
  <c r="G226" i="14" s="1"/>
  <c r="Q225" i="14"/>
  <c r="Q226" i="14" s="1"/>
  <c r="G174" i="14"/>
  <c r="G186" i="14" s="1"/>
  <c r="G187" i="14" s="1"/>
  <c r="Q169" i="14"/>
  <c r="G169" i="14"/>
  <c r="Q165" i="14"/>
  <c r="Q130" i="14"/>
  <c r="Q147" i="14" s="1"/>
  <c r="Q148" i="14" s="1"/>
  <c r="G130" i="14"/>
  <c r="G147" i="14" s="1"/>
  <c r="G148" i="14" s="1"/>
  <c r="Q108" i="14"/>
  <c r="Q109" i="14" s="1"/>
  <c r="G96" i="14"/>
  <c r="G108" i="14" s="1"/>
  <c r="G109" i="14" s="1"/>
  <c r="Q91" i="14"/>
  <c r="G91" i="14"/>
  <c r="Q56" i="14"/>
  <c r="G56" i="14"/>
  <c r="Q51" i="14"/>
  <c r="G51" i="14"/>
  <c r="G68" i="14" s="1"/>
  <c r="G69" i="14" s="1"/>
  <c r="Q68" i="14"/>
  <c r="Q69" i="14" s="1"/>
  <c r="G28" i="14"/>
  <c r="Q18" i="14"/>
  <c r="G18" i="14"/>
  <c r="Q13" i="14"/>
  <c r="G13" i="14"/>
  <c r="G30" i="14" s="1"/>
  <c r="G31" i="14" s="1"/>
  <c r="Q30" i="14"/>
  <c r="Q31" i="14" s="1"/>
  <c r="Q253" i="13"/>
  <c r="G253" i="13"/>
  <c r="Q248" i="13"/>
  <c r="Q265" i="13" s="1"/>
  <c r="Q266" i="13" s="1"/>
  <c r="G248" i="13"/>
  <c r="G265" i="13" s="1"/>
  <c r="G266" i="13" s="1"/>
  <c r="Q213" i="13"/>
  <c r="G213" i="13"/>
  <c r="G209" i="13"/>
  <c r="Q208" i="13"/>
  <c r="G208" i="13"/>
  <c r="G225" i="13" s="1"/>
  <c r="G226" i="13" s="1"/>
  <c r="Q225" i="13"/>
  <c r="Q226" i="13" s="1"/>
  <c r="G185" i="13"/>
  <c r="G186" i="13" s="1"/>
  <c r="Q173" i="13"/>
  <c r="Q168" i="13"/>
  <c r="Q185" i="13" s="1"/>
  <c r="Q186" i="13" s="1"/>
  <c r="G168" i="13"/>
  <c r="Q135" i="13"/>
  <c r="G135" i="13"/>
  <c r="Q130" i="13"/>
  <c r="G130" i="13"/>
  <c r="Q147" i="13"/>
  <c r="Q148" i="13" s="1"/>
  <c r="G147" i="13"/>
  <c r="G148" i="13" s="1"/>
  <c r="Q96" i="13"/>
  <c r="G96" i="13"/>
  <c r="Q91" i="13"/>
  <c r="Q108" i="13" s="1"/>
  <c r="Q109" i="13" s="1"/>
  <c r="G91" i="13"/>
  <c r="G108" i="13" s="1"/>
  <c r="G109" i="13" s="1"/>
  <c r="Q56" i="13"/>
  <c r="G56" i="13"/>
  <c r="Q51" i="13"/>
  <c r="G51" i="13"/>
  <c r="Q68" i="13"/>
  <c r="Q69" i="13" s="1"/>
  <c r="G68" i="13"/>
  <c r="G69" i="13" s="1"/>
  <c r="G18" i="13"/>
  <c r="Q13" i="13"/>
  <c r="Q30" i="13" s="1"/>
  <c r="Q31" i="13" s="1"/>
  <c r="G13" i="13"/>
  <c r="G30" i="13" s="1"/>
  <c r="G31" i="13" s="1"/>
  <c r="Q252" i="12"/>
  <c r="G252" i="12"/>
  <c r="Q247" i="12"/>
  <c r="Q264" i="12" s="1"/>
  <c r="Q265" i="12" s="1"/>
  <c r="G247" i="12"/>
  <c r="G264" i="12"/>
  <c r="G265" i="12" s="1"/>
  <c r="Q209" i="12"/>
  <c r="Q226" i="12" s="1"/>
  <c r="Q227" i="12" s="1"/>
  <c r="G209" i="12"/>
  <c r="G226" i="12"/>
  <c r="G227" i="12" s="1"/>
  <c r="G185" i="12"/>
  <c r="Q175" i="12"/>
  <c r="G175" i="12"/>
  <c r="Q170" i="12"/>
  <c r="Q187" i="12" s="1"/>
  <c r="Q188" i="12" s="1"/>
  <c r="G170" i="12"/>
  <c r="G187" i="12" s="1"/>
  <c r="G188" i="12" s="1"/>
  <c r="G169" i="12"/>
  <c r="G148" i="12"/>
  <c r="G149" i="12" s="1"/>
  <c r="Q146" i="12"/>
  <c r="Q136" i="12"/>
  <c r="G136" i="12"/>
  <c r="Q131" i="12"/>
  <c r="Q148" i="12" s="1"/>
  <c r="Q149" i="12" s="1"/>
  <c r="G131" i="12"/>
  <c r="Q97" i="12"/>
  <c r="G97" i="12"/>
  <c r="Q92" i="12"/>
  <c r="G92" i="12"/>
  <c r="Q109" i="12"/>
  <c r="Q110" i="12" s="1"/>
  <c r="G109" i="12"/>
  <c r="G110" i="12" s="1"/>
  <c r="Q68" i="12"/>
  <c r="G68" i="12"/>
  <c r="Q58" i="12"/>
  <c r="G58" i="12"/>
  <c r="Q53" i="12"/>
  <c r="G53" i="12"/>
  <c r="Q52" i="12"/>
  <c r="Q70" i="12" s="1"/>
  <c r="Q71" i="12" s="1"/>
  <c r="G52" i="12"/>
  <c r="G70" i="12" s="1"/>
  <c r="G71" i="12" s="1"/>
  <c r="Q30" i="12"/>
  <c r="Q31" i="12" s="1"/>
  <c r="G18" i="12"/>
  <c r="G30" i="12" s="1"/>
  <c r="G31" i="12" s="1"/>
  <c r="Q13" i="12"/>
  <c r="G13" i="12"/>
  <c r="Q246" i="11"/>
  <c r="G246" i="11"/>
  <c r="Q241" i="11"/>
  <c r="G241" i="11"/>
  <c r="G258" i="11" s="1"/>
  <c r="G259" i="11" s="1"/>
  <c r="Q258" i="11"/>
  <c r="Q259" i="11" s="1"/>
  <c r="Q206" i="11"/>
  <c r="G206" i="11"/>
  <c r="Q201" i="11"/>
  <c r="Q218" i="11" s="1"/>
  <c r="Q219" i="11" s="1"/>
  <c r="G201" i="11"/>
  <c r="G218" i="11"/>
  <c r="G219" i="11" s="1"/>
  <c r="Q168" i="11"/>
  <c r="G168" i="11"/>
  <c r="Q163" i="11"/>
  <c r="G163" i="11"/>
  <c r="G180" i="11" s="1"/>
  <c r="G181" i="11" s="1"/>
  <c r="Q180" i="11"/>
  <c r="Q181" i="11" s="1"/>
  <c r="Q130" i="11"/>
  <c r="G130" i="11"/>
  <c r="Q125" i="11"/>
  <c r="Q142" i="11" s="1"/>
  <c r="Q143" i="11" s="1"/>
  <c r="G125" i="11"/>
  <c r="G142" i="11"/>
  <c r="G143" i="11" s="1"/>
  <c r="Q94" i="11"/>
  <c r="G94" i="11"/>
  <c r="Q89" i="11"/>
  <c r="G89" i="11"/>
  <c r="G106" i="11" s="1"/>
  <c r="G107" i="11" s="1"/>
  <c r="Q106" i="11"/>
  <c r="Q107" i="11" s="1"/>
  <c r="G69" i="11"/>
  <c r="G70" i="11" s="1"/>
  <c r="Q57" i="11"/>
  <c r="Q52" i="11"/>
  <c r="Q69" i="11" s="1"/>
  <c r="Q70" i="11" s="1"/>
  <c r="G52" i="11"/>
  <c r="Q18" i="11"/>
  <c r="G18" i="11"/>
  <c r="Q13" i="11"/>
  <c r="G13" i="11"/>
  <c r="Q30" i="11"/>
  <c r="Q31" i="11" s="1"/>
  <c r="G30" i="11"/>
  <c r="G31" i="11" s="1"/>
  <c r="P233" i="10"/>
  <c r="F233" i="10"/>
  <c r="P195" i="10"/>
  <c r="F195" i="10"/>
  <c r="P158" i="10"/>
  <c r="F158" i="10"/>
  <c r="P119" i="10"/>
  <c r="F119" i="10"/>
  <c r="P81" i="10"/>
  <c r="F81" i="10"/>
  <c r="P43" i="10"/>
  <c r="F43" i="10"/>
  <c r="P4" i="10"/>
  <c r="F4" i="10"/>
  <c r="G13" i="10" s="1"/>
  <c r="P228" i="9"/>
  <c r="F228" i="9"/>
  <c r="Q216" i="9"/>
  <c r="G216" i="9"/>
  <c r="Q200" i="9"/>
  <c r="G200" i="9"/>
  <c r="P191" i="9"/>
  <c r="F191" i="9"/>
  <c r="P153" i="9"/>
  <c r="F153" i="9"/>
  <c r="G141" i="9"/>
  <c r="Q131" i="9"/>
  <c r="G125" i="9"/>
  <c r="P117" i="9"/>
  <c r="F117" i="9"/>
  <c r="P80" i="9"/>
  <c r="F80" i="9"/>
  <c r="Q66" i="9"/>
  <c r="Q56" i="9"/>
  <c r="Q50" i="9"/>
  <c r="P42" i="9"/>
  <c r="F42" i="9"/>
  <c r="P4" i="9"/>
  <c r="F4" i="9"/>
  <c r="G13" i="9" s="1"/>
  <c r="Q259" i="8"/>
  <c r="Q249" i="8"/>
  <c r="G249" i="8"/>
  <c r="Q244" i="8"/>
  <c r="Q261" i="8" s="1"/>
  <c r="Q262" i="8" s="1"/>
  <c r="G244" i="8"/>
  <c r="Q243" i="8"/>
  <c r="G261" i="8"/>
  <c r="G262" i="8" s="1"/>
  <c r="Q210" i="8"/>
  <c r="G210" i="8"/>
  <c r="Q205" i="8"/>
  <c r="Q222" i="8" s="1"/>
  <c r="Q223" i="8" s="1"/>
  <c r="G205" i="8"/>
  <c r="G222" i="8" s="1"/>
  <c r="G223" i="8" s="1"/>
  <c r="Q181" i="8"/>
  <c r="G181" i="8"/>
  <c r="Q171" i="8"/>
  <c r="G171" i="8"/>
  <c r="Q166" i="8"/>
  <c r="G166" i="8"/>
  <c r="Q165" i="8"/>
  <c r="G165" i="8"/>
  <c r="Q183" i="8"/>
  <c r="Q184" i="8" s="1"/>
  <c r="G183" i="8"/>
  <c r="G184" i="8" s="1"/>
  <c r="Q142" i="8"/>
  <c r="Q132" i="8"/>
  <c r="G132" i="8"/>
  <c r="G144" i="8" s="1"/>
  <c r="G145" i="8" s="1"/>
  <c r="Q127" i="8"/>
  <c r="Q144" i="8" s="1"/>
  <c r="Q145" i="8" s="1"/>
  <c r="Q126" i="8"/>
  <c r="G126" i="8"/>
  <c r="Q103" i="8"/>
  <c r="G103" i="8"/>
  <c r="G93" i="8"/>
  <c r="Q88" i="8"/>
  <c r="G88" i="8"/>
  <c r="Q87" i="8"/>
  <c r="Q105" i="8" s="1"/>
  <c r="Q106" i="8" s="1"/>
  <c r="G87" i="8"/>
  <c r="G105" i="8" s="1"/>
  <c r="G106" i="8" s="1"/>
  <c r="Q67" i="8"/>
  <c r="G67" i="8"/>
  <c r="Q57" i="8"/>
  <c r="G57" i="8"/>
  <c r="Q52" i="8"/>
  <c r="G52" i="8"/>
  <c r="Q51" i="8"/>
  <c r="Q69" i="8" s="1"/>
  <c r="Q70" i="8" s="1"/>
  <c r="G51" i="8"/>
  <c r="G69" i="8"/>
  <c r="G70" i="8" s="1"/>
  <c r="Q28" i="8"/>
  <c r="G28" i="8"/>
  <c r="Q18" i="8"/>
  <c r="G18" i="8"/>
  <c r="Q13" i="8"/>
  <c r="G13" i="8"/>
  <c r="Q12" i="8"/>
  <c r="G12" i="8"/>
  <c r="G30" i="8" s="1"/>
  <c r="G31" i="8" s="1"/>
  <c r="Q30" i="8"/>
  <c r="Q31" i="8" s="1"/>
  <c r="Q253" i="7"/>
  <c r="G253" i="7"/>
  <c r="Q243" i="7"/>
  <c r="G243" i="7"/>
  <c r="Q238" i="7"/>
  <c r="G238" i="7"/>
  <c r="Q237" i="7"/>
  <c r="Q255" i="7" s="1"/>
  <c r="Q256" i="7" s="1"/>
  <c r="G237" i="7"/>
  <c r="G255" i="7"/>
  <c r="G256" i="7" s="1"/>
  <c r="Q214" i="7"/>
  <c r="G214" i="7"/>
  <c r="Q204" i="7"/>
  <c r="G204" i="7"/>
  <c r="Q199" i="7"/>
  <c r="G199" i="7"/>
  <c r="Q198" i="7"/>
  <c r="G198" i="7"/>
  <c r="G216" i="7" s="1"/>
  <c r="G217" i="7" s="1"/>
  <c r="Q216" i="7"/>
  <c r="Q217" i="7" s="1"/>
  <c r="Q176" i="7"/>
  <c r="Q166" i="7"/>
  <c r="G166" i="7"/>
  <c r="G178" i="7" s="1"/>
  <c r="G179" i="7" s="1"/>
  <c r="Q161" i="7"/>
  <c r="G161" i="7"/>
  <c r="Q160" i="7"/>
  <c r="Q178" i="7"/>
  <c r="Q179" i="7" s="1"/>
  <c r="Q129" i="7"/>
  <c r="G129" i="7"/>
  <c r="Q124" i="7"/>
  <c r="Q141" i="7" s="1"/>
  <c r="Q142" i="7" s="1"/>
  <c r="G124" i="7"/>
  <c r="G141" i="7"/>
  <c r="G142" i="7" s="1"/>
  <c r="Q92" i="7"/>
  <c r="G92" i="7"/>
  <c r="Q87" i="7"/>
  <c r="G87" i="7"/>
  <c r="G104" i="7" s="1"/>
  <c r="G105" i="7" s="1"/>
  <c r="Q104" i="7"/>
  <c r="Q105" i="7" s="1"/>
  <c r="Q55" i="7"/>
  <c r="G55" i="7"/>
  <c r="G50" i="7"/>
  <c r="G67" i="7" s="1"/>
  <c r="G68" i="7" s="1"/>
  <c r="Q67" i="7"/>
  <c r="Q68" i="7" s="1"/>
  <c r="Q18" i="7"/>
  <c r="G18" i="7"/>
  <c r="Q13" i="7"/>
  <c r="G13" i="7"/>
  <c r="Q30" i="7"/>
  <c r="Q31" i="7" s="1"/>
  <c r="G30" i="7"/>
  <c r="G31" i="7" s="1"/>
  <c r="Q256" i="6"/>
  <c r="G256" i="6"/>
  <c r="Q246" i="6"/>
  <c r="G246" i="6"/>
  <c r="Q241" i="6"/>
  <c r="G241" i="6"/>
  <c r="Q240" i="6"/>
  <c r="Q258" i="6" s="1"/>
  <c r="Q259" i="6" s="1"/>
  <c r="G240" i="6"/>
  <c r="G258" i="6" s="1"/>
  <c r="G259" i="6" s="1"/>
  <c r="G207" i="6"/>
  <c r="G202" i="6"/>
  <c r="G201" i="6"/>
  <c r="G219" i="6" s="1"/>
  <c r="G220" i="6" s="1"/>
  <c r="Q177" i="6"/>
  <c r="G177" i="6"/>
  <c r="Q167" i="6"/>
  <c r="G167" i="6"/>
  <c r="Q162" i="6"/>
  <c r="G162" i="6"/>
  <c r="Q161" i="6"/>
  <c r="G161" i="6"/>
  <c r="Q179" i="6"/>
  <c r="Q180" i="6" s="1"/>
  <c r="G179" i="6"/>
  <c r="G180" i="6" s="1"/>
  <c r="Q140" i="6"/>
  <c r="G140" i="6"/>
  <c r="Q130" i="6"/>
  <c r="G130" i="6"/>
  <c r="Q125" i="6"/>
  <c r="G125" i="6"/>
  <c r="Q124" i="6"/>
  <c r="Q142" i="6" s="1"/>
  <c r="Q143" i="6" s="1"/>
  <c r="G124" i="6"/>
  <c r="G142" i="6" s="1"/>
  <c r="G143" i="6" s="1"/>
  <c r="Q103" i="6"/>
  <c r="G103" i="6"/>
  <c r="Q93" i="6"/>
  <c r="G93" i="6"/>
  <c r="Q88" i="6"/>
  <c r="G88" i="6"/>
  <c r="Q87" i="6"/>
  <c r="G87" i="6"/>
  <c r="Q105" i="6"/>
  <c r="Q106" i="6" s="1"/>
  <c r="G105" i="6"/>
  <c r="G106" i="6" s="1"/>
  <c r="Q65" i="6"/>
  <c r="G65" i="6"/>
  <c r="Q55" i="6"/>
  <c r="G55" i="6"/>
  <c r="Q50" i="6"/>
  <c r="G50" i="6"/>
  <c r="Q49" i="6"/>
  <c r="Q67" i="6" s="1"/>
  <c r="Q68" i="6" s="1"/>
  <c r="G49" i="6"/>
  <c r="G67" i="6" s="1"/>
  <c r="G68" i="6" s="1"/>
  <c r="Q28" i="6"/>
  <c r="G28" i="6"/>
  <c r="Q18" i="6"/>
  <c r="G18" i="6"/>
  <c r="Q13" i="6"/>
  <c r="G13" i="6"/>
  <c r="Q12" i="6"/>
  <c r="G12" i="6"/>
  <c r="Q30" i="6"/>
  <c r="Q31" i="6" s="1"/>
  <c r="G30" i="6"/>
  <c r="G31" i="6" s="1"/>
  <c r="G248" i="5"/>
  <c r="G245" i="5"/>
  <c r="G241" i="5"/>
  <c r="G240" i="5"/>
  <c r="G257" i="5" s="1"/>
  <c r="G258" i="5" s="1"/>
  <c r="G236" i="5"/>
  <c r="Q207" i="5"/>
  <c r="G207" i="5"/>
  <c r="Q204" i="5"/>
  <c r="G204" i="5"/>
  <c r="Q200" i="5"/>
  <c r="G200" i="5"/>
  <c r="Q199" i="5"/>
  <c r="G199" i="5"/>
  <c r="Q195" i="5"/>
  <c r="G195" i="5"/>
  <c r="G216" i="5" s="1"/>
  <c r="G217" i="5" s="1"/>
  <c r="G176" i="5"/>
  <c r="Q169" i="5"/>
  <c r="G169" i="5"/>
  <c r="Q166" i="5"/>
  <c r="G166" i="5"/>
  <c r="Q162" i="5"/>
  <c r="G162" i="5"/>
  <c r="Q161" i="5"/>
  <c r="Q178" i="5" s="1"/>
  <c r="Q179" i="5" s="1"/>
  <c r="G161" i="5"/>
  <c r="Q157" i="5"/>
  <c r="G157" i="5"/>
  <c r="G178" i="5" s="1"/>
  <c r="G179" i="5" s="1"/>
  <c r="Q132" i="5"/>
  <c r="G132" i="5"/>
  <c r="Q129" i="5"/>
  <c r="Q125" i="5"/>
  <c r="G125" i="5"/>
  <c r="Q124" i="5"/>
  <c r="G124" i="5"/>
  <c r="Q120" i="5"/>
  <c r="G120" i="5"/>
  <c r="Q95" i="5"/>
  <c r="G95" i="5"/>
  <c r="Q88" i="5"/>
  <c r="G88" i="5"/>
  <c r="Q87" i="5"/>
  <c r="G87" i="5"/>
  <c r="Q83" i="5"/>
  <c r="Q104" i="5" s="1"/>
  <c r="Q105" i="5" s="1"/>
  <c r="G83" i="5"/>
  <c r="G104" i="5" s="1"/>
  <c r="G105" i="5" s="1"/>
  <c r="Q58" i="5"/>
  <c r="G58" i="5"/>
  <c r="G55" i="5"/>
  <c r="Q51" i="5"/>
  <c r="G51" i="5"/>
  <c r="Q50" i="5"/>
  <c r="G50" i="5"/>
  <c r="Q46" i="5"/>
  <c r="G46" i="5"/>
  <c r="Q21" i="5"/>
  <c r="G21" i="5"/>
  <c r="Q18" i="5"/>
  <c r="G18" i="5"/>
  <c r="Q14" i="5"/>
  <c r="G14" i="5"/>
  <c r="Q13" i="5"/>
  <c r="G13" i="5"/>
  <c r="Q9" i="5"/>
  <c r="G9" i="5"/>
  <c r="G30" i="5" s="1"/>
  <c r="G31" i="5" s="1"/>
  <c r="G213" i="4"/>
  <c r="Q203" i="4"/>
  <c r="G203" i="4"/>
  <c r="Q198" i="4"/>
  <c r="Q215" i="4" s="1"/>
  <c r="Q216" i="4" s="1"/>
  <c r="G198" i="4"/>
  <c r="G215" i="4" s="1"/>
  <c r="G216" i="4" s="1"/>
  <c r="Q197" i="4"/>
  <c r="Q166" i="4"/>
  <c r="G166" i="4"/>
  <c r="Q161" i="4"/>
  <c r="G161" i="4"/>
  <c r="G178" i="4" s="1"/>
  <c r="G179" i="4" s="1"/>
  <c r="Q160" i="4"/>
  <c r="Q178" i="4" s="1"/>
  <c r="Q179" i="4" s="1"/>
  <c r="G137" i="4"/>
  <c r="Q127" i="4"/>
  <c r="G127" i="4"/>
  <c r="Q122" i="4"/>
  <c r="G122" i="4"/>
  <c r="G121" i="4"/>
  <c r="G139" i="4" s="1"/>
  <c r="G140" i="4" s="1"/>
  <c r="Q139" i="4"/>
  <c r="Q140" i="4" s="1"/>
  <c r="G100" i="4"/>
  <c r="Q90" i="4"/>
  <c r="G90" i="4"/>
  <c r="G86" i="4"/>
  <c r="G85" i="4"/>
  <c r="G84" i="4"/>
  <c r="G102" i="4" s="1"/>
  <c r="G103" i="4" s="1"/>
  <c r="Q102" i="4"/>
  <c r="Q103" i="4" s="1"/>
  <c r="Q64" i="4"/>
  <c r="Q54" i="4"/>
  <c r="G54" i="4"/>
  <c r="G66" i="4" s="1"/>
  <c r="G67" i="4" s="1"/>
  <c r="Q49" i="4"/>
  <c r="G49" i="4"/>
  <c r="Q48" i="4"/>
  <c r="Q66" i="4"/>
  <c r="Q67" i="4" s="1"/>
  <c r="Q28" i="4"/>
  <c r="G28" i="4"/>
  <c r="Q18" i="4"/>
  <c r="G18" i="4"/>
  <c r="Q13" i="4"/>
  <c r="G13" i="4"/>
  <c r="Q12" i="4"/>
  <c r="Q30" i="4" s="1"/>
  <c r="Q31" i="4" s="1"/>
  <c r="G12" i="4"/>
  <c r="G30" i="4"/>
  <c r="G31" i="4" s="1"/>
  <c r="G264" i="3"/>
  <c r="G248" i="3"/>
  <c r="F239" i="3"/>
  <c r="Q224" i="3"/>
  <c r="G224" i="3"/>
  <c r="Q208" i="3"/>
  <c r="G208" i="3"/>
  <c r="P199" i="3"/>
  <c r="F199" i="3"/>
  <c r="Q185" i="3"/>
  <c r="G170" i="3"/>
  <c r="Q169" i="3"/>
  <c r="P161" i="3"/>
  <c r="F161" i="3"/>
  <c r="P122" i="3"/>
  <c r="F122" i="3"/>
  <c r="Q107" i="3"/>
  <c r="G107" i="3"/>
  <c r="Q91" i="3"/>
  <c r="G91" i="3"/>
  <c r="P83" i="3"/>
  <c r="F83" i="3"/>
  <c r="Q67" i="3"/>
  <c r="G67" i="3"/>
  <c r="Q51" i="3"/>
  <c r="G51" i="3"/>
  <c r="P43" i="3"/>
  <c r="F43" i="3"/>
  <c r="G28" i="3"/>
  <c r="Q30" i="3"/>
  <c r="Q31" i="3" s="1"/>
  <c r="G12" i="3"/>
  <c r="F4" i="3"/>
  <c r="G257" i="2"/>
  <c r="G247" i="2"/>
  <c r="G242" i="2"/>
  <c r="G241" i="2"/>
  <c r="P212" i="2"/>
  <c r="G210" i="2"/>
  <c r="P207" i="2"/>
  <c r="P224" i="2" s="1"/>
  <c r="P225" i="2" s="1"/>
  <c r="G205" i="2"/>
  <c r="G222" i="2"/>
  <c r="G223" i="2" s="1"/>
  <c r="P184" i="2"/>
  <c r="G182" i="2"/>
  <c r="P174" i="2"/>
  <c r="G172" i="2"/>
  <c r="P169" i="2"/>
  <c r="G167" i="2"/>
  <c r="P168" i="2"/>
  <c r="G166" i="2"/>
  <c r="G184" i="2" s="1"/>
  <c r="G185" i="2" s="1"/>
  <c r="P186" i="2"/>
  <c r="P187" i="2" s="1"/>
  <c r="P147" i="2"/>
  <c r="G145" i="2"/>
  <c r="P137" i="2"/>
  <c r="G135" i="2"/>
  <c r="P132" i="2"/>
  <c r="G130" i="2"/>
  <c r="P131" i="2"/>
  <c r="P149" i="2" s="1"/>
  <c r="P150" i="2" s="1"/>
  <c r="G129" i="2"/>
  <c r="G147" i="2"/>
  <c r="G148" i="2" s="1"/>
  <c r="P100" i="2"/>
  <c r="G98" i="2"/>
  <c r="P95" i="2"/>
  <c r="G93" i="2"/>
  <c r="G110" i="2" s="1"/>
  <c r="G111" i="2" s="1"/>
  <c r="P112" i="2"/>
  <c r="P113" i="2" s="1"/>
  <c r="G60" i="2"/>
  <c r="G57" i="2"/>
  <c r="G52" i="2"/>
  <c r="G69" i="2" s="1"/>
  <c r="G70" i="2" s="1"/>
  <c r="P30" i="2"/>
  <c r="G30" i="2"/>
  <c r="P19" i="2"/>
  <c r="G19" i="2"/>
  <c r="P14" i="2"/>
  <c r="G14" i="2"/>
  <c r="P13" i="2"/>
  <c r="P32" i="2" s="1"/>
  <c r="P33" i="2" s="1"/>
  <c r="G13" i="2"/>
  <c r="G32" i="2"/>
  <c r="G33" i="2" s="1"/>
  <c r="Q48" i="10" l="1"/>
  <c r="Q60" i="10"/>
  <c r="Q53" i="10"/>
  <c r="G52" i="9"/>
  <c r="G47" i="9"/>
  <c r="G59" i="9"/>
  <c r="G127" i="9"/>
  <c r="G134" i="9"/>
  <c r="G122" i="9"/>
  <c r="G202" i="9"/>
  <c r="G209" i="9"/>
  <c r="G197" i="9"/>
  <c r="G136" i="10"/>
  <c r="G129" i="10"/>
  <c r="G124" i="10"/>
  <c r="G171" i="3"/>
  <c r="G166" i="3"/>
  <c r="G178" i="3"/>
  <c r="Q141" i="5"/>
  <c r="Q142" i="5" s="1"/>
  <c r="Q9" i="9"/>
  <c r="Q14" i="9"/>
  <c r="Q21" i="9"/>
  <c r="Q143" i="9"/>
  <c r="Q144" i="9" s="1"/>
  <c r="Q127" i="9"/>
  <c r="Q134" i="9"/>
  <c r="Q122" i="9"/>
  <c r="Q21" i="10"/>
  <c r="Q14" i="10"/>
  <c r="Q9" i="10"/>
  <c r="Q201" i="10"/>
  <c r="Q213" i="10"/>
  <c r="Q206" i="10"/>
  <c r="Q93" i="3"/>
  <c r="Q100" i="3"/>
  <c r="Q88" i="3"/>
  <c r="Q171" i="3"/>
  <c r="Q178" i="3"/>
  <c r="Q166" i="3"/>
  <c r="G185" i="3"/>
  <c r="G187" i="3" s="1"/>
  <c r="G188" i="3" s="1"/>
  <c r="G254" i="3"/>
  <c r="G250" i="3"/>
  <c r="G245" i="3"/>
  <c r="G257" i="3"/>
  <c r="Q30" i="5"/>
  <c r="Q31" i="5" s="1"/>
  <c r="Q216" i="5"/>
  <c r="Q217" i="5" s="1"/>
  <c r="G97" i="9"/>
  <c r="G90" i="9"/>
  <c r="G85" i="9"/>
  <c r="G163" i="9"/>
  <c r="G170" i="9"/>
  <c r="G158" i="9"/>
  <c r="G246" i="9"/>
  <c r="G234" i="9"/>
  <c r="G239" i="9"/>
  <c r="G91" i="10"/>
  <c r="G98" i="10"/>
  <c r="G86" i="10"/>
  <c r="G168" i="10"/>
  <c r="G163" i="10"/>
  <c r="G175" i="10"/>
  <c r="G251" i="10"/>
  <c r="G239" i="10"/>
  <c r="G244" i="10"/>
  <c r="Q186" i="14"/>
  <c r="Q187" i="14" s="1"/>
  <c r="Q48" i="3"/>
  <c r="Q60" i="3"/>
  <c r="Q53" i="3"/>
  <c r="Q127" i="3"/>
  <c r="Q132" i="3"/>
  <c r="Q139" i="3"/>
  <c r="G210" i="3"/>
  <c r="G205" i="3"/>
  <c r="G217" i="3"/>
  <c r="G21" i="9"/>
  <c r="G14" i="9"/>
  <c r="G9" i="9"/>
  <c r="G9" i="10"/>
  <c r="G14" i="10"/>
  <c r="G30" i="10" s="1"/>
  <c r="G31" i="10" s="1"/>
  <c r="G21" i="10"/>
  <c r="G57" i="10"/>
  <c r="G60" i="10"/>
  <c r="G53" i="10"/>
  <c r="G48" i="10"/>
  <c r="G206" i="10"/>
  <c r="G201" i="10"/>
  <c r="G213" i="10"/>
  <c r="G100" i="3"/>
  <c r="G93" i="3"/>
  <c r="G88" i="3"/>
  <c r="G175" i="3"/>
  <c r="Q217" i="3"/>
  <c r="Q210" i="3"/>
  <c r="Q205" i="3"/>
  <c r="Q59" i="9"/>
  <c r="Q47" i="9"/>
  <c r="Q52" i="9"/>
  <c r="Q209" i="9"/>
  <c r="Q197" i="9"/>
  <c r="Q202" i="9"/>
  <c r="Q124" i="10"/>
  <c r="Q129" i="10"/>
  <c r="Q136" i="10"/>
  <c r="G18" i="3"/>
  <c r="G14" i="3"/>
  <c r="G21" i="3"/>
  <c r="G9" i="3"/>
  <c r="G60" i="3"/>
  <c r="G53" i="3"/>
  <c r="G48" i="3"/>
  <c r="G132" i="3"/>
  <c r="G127" i="3"/>
  <c r="G139" i="3"/>
  <c r="G67" i="5"/>
  <c r="G68" i="5" s="1"/>
  <c r="Q67" i="5"/>
  <c r="Q68" i="5" s="1"/>
  <c r="G141" i="5"/>
  <c r="G142" i="5" s="1"/>
  <c r="G18" i="9"/>
  <c r="Q51" i="9"/>
  <c r="Q68" i="9" s="1"/>
  <c r="Q69" i="9" s="1"/>
  <c r="Q85" i="9"/>
  <c r="Q97" i="9"/>
  <c r="Q90" i="9"/>
  <c r="Q126" i="9"/>
  <c r="Q158" i="9"/>
  <c r="Q170" i="9"/>
  <c r="Q163" i="9"/>
  <c r="Q239" i="9"/>
  <c r="Q234" i="9"/>
  <c r="Q246" i="9"/>
  <c r="G18" i="10"/>
  <c r="Q98" i="10"/>
  <c r="Q91" i="10"/>
  <c r="Q86" i="10"/>
  <c r="Q168" i="10"/>
  <c r="Q175" i="10"/>
  <c r="Q163" i="10"/>
  <c r="Q251" i="10"/>
  <c r="Q244" i="10"/>
  <c r="Q239" i="10"/>
  <c r="G259" i="2"/>
  <c r="G260" i="2" s="1"/>
  <c r="G52" i="10"/>
  <c r="G90" i="10"/>
  <c r="G95" i="10"/>
  <c r="G128" i="10"/>
  <c r="G133" i="10"/>
  <c r="G167" i="10"/>
  <c r="G172" i="10"/>
  <c r="G205" i="10"/>
  <c r="G210" i="10"/>
  <c r="G243" i="10"/>
  <c r="G248" i="10"/>
  <c r="Q13" i="10"/>
  <c r="Q18" i="10"/>
  <c r="Q52" i="10"/>
  <c r="Q57" i="10"/>
  <c r="Q90" i="10"/>
  <c r="Q95" i="10"/>
  <c r="Q128" i="10"/>
  <c r="Q133" i="10"/>
  <c r="Q167" i="10"/>
  <c r="Q172" i="10"/>
  <c r="Q205" i="10"/>
  <c r="Q210" i="10"/>
  <c r="Q243" i="10"/>
  <c r="Q248" i="10"/>
  <c r="G89" i="9"/>
  <c r="G94" i="9"/>
  <c r="G162" i="9"/>
  <c r="G167" i="9"/>
  <c r="G201" i="9"/>
  <c r="G206" i="9"/>
  <c r="G238" i="9"/>
  <c r="G243" i="9"/>
  <c r="Q13" i="9"/>
  <c r="Q18" i="9"/>
  <c r="G51" i="9"/>
  <c r="G56" i="9"/>
  <c r="Q89" i="9"/>
  <c r="Q94" i="9"/>
  <c r="G126" i="9"/>
  <c r="G131" i="9"/>
  <c r="Q162" i="9"/>
  <c r="Q167" i="9"/>
  <c r="Q201" i="9"/>
  <c r="Q206" i="9"/>
  <c r="Q238" i="9"/>
  <c r="Q243" i="9"/>
  <c r="Q52" i="3"/>
  <c r="Q57" i="3"/>
  <c r="Q92" i="3"/>
  <c r="Q97" i="3"/>
  <c r="Q131" i="3"/>
  <c r="Q136" i="3"/>
  <c r="G209" i="3"/>
  <c r="G214" i="3"/>
  <c r="G13" i="3"/>
  <c r="G52" i="3"/>
  <c r="G57" i="3"/>
  <c r="G92" i="3"/>
  <c r="G97" i="3"/>
  <c r="G131" i="3"/>
  <c r="G136" i="3"/>
  <c r="Q170" i="3"/>
  <c r="Q175" i="3"/>
  <c r="Q209" i="3"/>
  <c r="Q214" i="3"/>
  <c r="G266" i="3"/>
  <c r="G267" i="3" s="1"/>
  <c r="G249" i="3"/>
  <c r="G30" i="3" l="1"/>
  <c r="G31" i="3" s="1"/>
  <c r="Q260" i="10"/>
  <c r="Q261" i="10" s="1"/>
  <c r="Q222" i="10"/>
  <c r="Q223" i="10" s="1"/>
  <c r="Q184" i="10"/>
  <c r="Q185" i="10" s="1"/>
  <c r="Q145" i="10"/>
  <c r="Q146" i="10" s="1"/>
  <c r="Q107" i="10"/>
  <c r="Q108" i="10" s="1"/>
  <c r="Q69" i="10"/>
  <c r="Q70" i="10" s="1"/>
  <c r="Q30" i="10"/>
  <c r="Q31" i="10" s="1"/>
  <c r="G260" i="10"/>
  <c r="G261" i="10" s="1"/>
  <c r="G222" i="10"/>
  <c r="G223" i="10" s="1"/>
  <c r="G184" i="10"/>
  <c r="G185" i="10" s="1"/>
  <c r="G145" i="10"/>
  <c r="G146" i="10" s="1"/>
  <c r="G107" i="10"/>
  <c r="G108" i="10" s="1"/>
  <c r="G69" i="10"/>
  <c r="G70" i="10" s="1"/>
  <c r="Q106" i="9"/>
  <c r="Q107" i="9" s="1"/>
  <c r="G143" i="9"/>
  <c r="G144" i="9" s="1"/>
  <c r="G106" i="9"/>
  <c r="G107" i="9" s="1"/>
  <c r="Q255" i="9"/>
  <c r="Q256" i="9" s="1"/>
  <c r="Q218" i="9"/>
  <c r="Q219" i="9" s="1"/>
  <c r="Q179" i="9"/>
  <c r="Q180" i="9" s="1"/>
  <c r="Q30" i="9"/>
  <c r="Q31" i="9" s="1"/>
  <c r="G255" i="9"/>
  <c r="G256" i="9" s="1"/>
  <c r="G218" i="9"/>
  <c r="G219" i="9" s="1"/>
  <c r="G179" i="9"/>
  <c r="G180" i="9" s="1"/>
  <c r="G68" i="9"/>
  <c r="G69" i="9" s="1"/>
  <c r="G30" i="9"/>
  <c r="G31" i="9" s="1"/>
  <c r="Q226" i="3"/>
  <c r="Q227" i="3" s="1"/>
  <c r="Q187" i="3"/>
  <c r="Q188" i="3" s="1"/>
  <c r="Q148" i="3"/>
  <c r="Q149" i="3" s="1"/>
  <c r="Q109" i="3"/>
  <c r="Q110" i="3" s="1"/>
  <c r="Q69" i="3"/>
  <c r="Q70" i="3" s="1"/>
  <c r="G148" i="3"/>
  <c r="G149" i="3" s="1"/>
  <c r="G109" i="3"/>
  <c r="G110" i="3" s="1"/>
  <c r="G69" i="3"/>
  <c r="G70" i="3" s="1"/>
  <c r="G226" i="3"/>
  <c r="G227" i="3" s="1"/>
</calcChain>
</file>

<file path=xl/sharedStrings.xml><?xml version="1.0" encoding="utf-8"?>
<sst xmlns="http://schemas.openxmlformats.org/spreadsheetml/2006/main" count="9619" uniqueCount="707">
  <si>
    <t>Перелік будинків</t>
  </si>
  <si>
    <t>ЛИСТ 1</t>
  </si>
  <si>
    <t>ЛИСТ 2</t>
  </si>
  <si>
    <t>ЛИСТ 3</t>
  </si>
  <si>
    <t>ЛИСТ 4</t>
  </si>
  <si>
    <t>Парусна, 10</t>
  </si>
  <si>
    <t>Шевченко, 2а</t>
  </si>
  <si>
    <t>Парусна, 2а</t>
  </si>
  <si>
    <t>Олександрійська, 18</t>
  </si>
  <si>
    <t>Шевченко, 5а</t>
  </si>
  <si>
    <t>Парусна, 14</t>
  </si>
  <si>
    <t>Олександрійська, 19</t>
  </si>
  <si>
    <t>Шевченко, 6</t>
  </si>
  <si>
    <t>Парусна, 16</t>
  </si>
  <si>
    <t>Олександрійська, 20</t>
  </si>
  <si>
    <t>Шевченко, 11</t>
  </si>
  <si>
    <t>В.Шума, 13а</t>
  </si>
  <si>
    <t>Олександрійська, 24</t>
  </si>
  <si>
    <t>Шевченко, 13</t>
  </si>
  <si>
    <t>В.Шума, 21</t>
  </si>
  <si>
    <t>Парусна, 2</t>
  </si>
  <si>
    <t>Корабельна, 2</t>
  </si>
  <si>
    <t>В.Шума, 17а</t>
  </si>
  <si>
    <t xml:space="preserve">Парусна,4 </t>
  </si>
  <si>
    <t>Корабельна, 3</t>
  </si>
  <si>
    <t>Паркова, 34</t>
  </si>
  <si>
    <t>Парусна, 4а</t>
  </si>
  <si>
    <t>Корабельна, 4</t>
  </si>
  <si>
    <t>Пр-т Миру, 32</t>
  </si>
  <si>
    <t>Парусна, 6</t>
  </si>
  <si>
    <t>Корабельна, 6</t>
  </si>
  <si>
    <t>Лазурна, 3</t>
  </si>
  <si>
    <t>Пр-т Миру, 25</t>
  </si>
  <si>
    <t>Парусна, 11</t>
  </si>
  <si>
    <t>Корабельна, 12</t>
  </si>
  <si>
    <t>Лазурна, 7</t>
  </si>
  <si>
    <t>Пр-т Миру, 27</t>
  </si>
  <si>
    <t xml:space="preserve">Парусна, 12 </t>
  </si>
  <si>
    <t>Данченко, 4</t>
  </si>
  <si>
    <t>Пр-т Миру, 20а</t>
  </si>
  <si>
    <t>Пр-т Миру, 29</t>
  </si>
  <si>
    <t xml:space="preserve">Парусна, 13 </t>
  </si>
  <si>
    <t>Данченко, 6</t>
  </si>
  <si>
    <t>Пр-т Миру, 35г</t>
  </si>
  <si>
    <t>Данченко, 7</t>
  </si>
  <si>
    <t>ЛИСТ 5</t>
  </si>
  <si>
    <t>ЛИСТ 6</t>
  </si>
  <si>
    <t>ЛИСТ 7</t>
  </si>
  <si>
    <t>ЛИСТ 8</t>
  </si>
  <si>
    <t>В.Шума, 6</t>
  </si>
  <si>
    <t>Спортивна, 3</t>
  </si>
  <si>
    <t>Олександрійська, 10</t>
  </si>
  <si>
    <t>Паркова, 8а</t>
  </si>
  <si>
    <t>В.Шума, 6а</t>
  </si>
  <si>
    <t>Спортивна, 5</t>
  </si>
  <si>
    <t>Олександрійська, 22</t>
  </si>
  <si>
    <t>Паркова, 10</t>
  </si>
  <si>
    <t>В.Шума, 9</t>
  </si>
  <si>
    <t>Спортивна, 6</t>
  </si>
  <si>
    <t>Олександрійська, 11</t>
  </si>
  <si>
    <t>Паркова, 12</t>
  </si>
  <si>
    <t>В.Шума, 11</t>
  </si>
  <si>
    <t>Спортивна, 8</t>
  </si>
  <si>
    <t>Олександрійська, 13</t>
  </si>
  <si>
    <t>Паркова, 14</t>
  </si>
  <si>
    <t>В.Шума, 13</t>
  </si>
  <si>
    <t>Спортивна, 10</t>
  </si>
  <si>
    <t>Олександрійська, 15</t>
  </si>
  <si>
    <t>Паркова, 16</t>
  </si>
  <si>
    <t>В.Шума, 15</t>
  </si>
  <si>
    <t>Спортивна, 12</t>
  </si>
  <si>
    <t>Данченко, 1</t>
  </si>
  <si>
    <t>Паркова, 18</t>
  </si>
  <si>
    <t>В.Шума, 17</t>
  </si>
  <si>
    <t>Спортивна, 12а</t>
  </si>
  <si>
    <t>Пр-т Миру, 22</t>
  </si>
  <si>
    <t>Паркова, 20</t>
  </si>
  <si>
    <t>В.Шума, 19</t>
  </si>
  <si>
    <t>Спортивна, 6а</t>
  </si>
  <si>
    <t>Пр-т Миру, 24</t>
  </si>
  <si>
    <t>Паркова, 22</t>
  </si>
  <si>
    <t>Олександрійська, 12</t>
  </si>
  <si>
    <t>Пр-т Миру, 35б</t>
  </si>
  <si>
    <t>Пр-т Миру, 26</t>
  </si>
  <si>
    <t>Паркова, 24</t>
  </si>
  <si>
    <t>Олександрійська, 18а</t>
  </si>
  <si>
    <t>Паркова, 36</t>
  </si>
  <si>
    <t>Пр-т Миру, 28</t>
  </si>
  <si>
    <t>Паркова, 26</t>
  </si>
  <si>
    <t>Парусна, 3</t>
  </si>
  <si>
    <t>Паркова, 4</t>
  </si>
  <si>
    <t>Пр-т Миру, 39</t>
  </si>
  <si>
    <t>Паркова, 2</t>
  </si>
  <si>
    <t>Парусна, 5</t>
  </si>
  <si>
    <t>Паркова, 6</t>
  </si>
  <si>
    <t>Пр-т Миру, 41</t>
  </si>
  <si>
    <t>Паркова, 2а</t>
  </si>
  <si>
    <t>Парусна, 7</t>
  </si>
  <si>
    <t>Паркова, 8</t>
  </si>
  <si>
    <t>Пр-т Миру, 43</t>
  </si>
  <si>
    <t>Пр-т Миру, 11</t>
  </si>
  <si>
    <t>Парусна, 9</t>
  </si>
  <si>
    <t>Пр-т Миру, 15а</t>
  </si>
  <si>
    <t>Данченко, 3б</t>
  </si>
  <si>
    <t>Пр-т Миру, 13а</t>
  </si>
  <si>
    <t>ЛИСТ 9</t>
  </si>
  <si>
    <t>ЛИСТ 10</t>
  </si>
  <si>
    <t>ЛИСТ 11</t>
  </si>
  <si>
    <t>ЛИСТ 12</t>
  </si>
  <si>
    <t>Пр-т Миру, 15б</t>
  </si>
  <si>
    <t>Данченко, 8</t>
  </si>
  <si>
    <t>Олександрійська, 2</t>
  </si>
  <si>
    <t>Пр-т Миру, 10</t>
  </si>
  <si>
    <t>Пр-т Миру, 17</t>
  </si>
  <si>
    <t>Данченко, 9</t>
  </si>
  <si>
    <t>Олександрійська, 2а</t>
  </si>
  <si>
    <t>Пр-т Миру, 12</t>
  </si>
  <si>
    <t>Пр-т Миру, 21</t>
  </si>
  <si>
    <t>Данченко, 10</t>
  </si>
  <si>
    <t>Олександрійська, 4</t>
  </si>
  <si>
    <t>Пр-т Миру, 16</t>
  </si>
  <si>
    <t>Пр-т Миру, 23</t>
  </si>
  <si>
    <t>Данченко, 11</t>
  </si>
  <si>
    <t>Олександрійська, 4а</t>
  </si>
  <si>
    <t>Пр-т Миру, 18</t>
  </si>
  <si>
    <t>Данченко, 1а</t>
  </si>
  <si>
    <t>Данченко, 12</t>
  </si>
  <si>
    <t>Пр-т Миру, 1</t>
  </si>
  <si>
    <t>Пр-т Миру, 5а</t>
  </si>
  <si>
    <t>Данченко, 3</t>
  </si>
  <si>
    <t>Данченко, 13</t>
  </si>
  <si>
    <t>Пр-т Миру, 2</t>
  </si>
  <si>
    <t>Пр-т Миру, 7</t>
  </si>
  <si>
    <t>Данченко, 3а</t>
  </si>
  <si>
    <t>Данченко, 14</t>
  </si>
  <si>
    <t>Пр-т Миру, 3</t>
  </si>
  <si>
    <t>Пр-т Миру, 18а</t>
  </si>
  <si>
    <t>Данченко, 3в</t>
  </si>
  <si>
    <t>Данченко, 17</t>
  </si>
  <si>
    <t>Пр-т Миру, 3а</t>
  </si>
  <si>
    <t>Пр-т Миру, 14а</t>
  </si>
  <si>
    <t>Данченко, 2</t>
  </si>
  <si>
    <t>Данченко, 19</t>
  </si>
  <si>
    <t>Пр-т Миру, 4</t>
  </si>
  <si>
    <t>Корабельна, 4а</t>
  </si>
  <si>
    <t>Данченко, 5а</t>
  </si>
  <si>
    <t>Данченко, 21</t>
  </si>
  <si>
    <t>Пр-т Миру, 6</t>
  </si>
  <si>
    <t>Корабельна, 4б</t>
  </si>
  <si>
    <t>Олександрійська, 1</t>
  </si>
  <si>
    <t>Пр-т Миру, 7а</t>
  </si>
  <si>
    <t>Корабельна, 5</t>
  </si>
  <si>
    <t>1 Травня, 2а</t>
  </si>
  <si>
    <t>Олександрійська, 3</t>
  </si>
  <si>
    <t>Пр-т Миру, 8</t>
  </si>
  <si>
    <t>Корабельна, 6а</t>
  </si>
  <si>
    <t>1 Травня, 4</t>
  </si>
  <si>
    <t>Олександрійська, 5</t>
  </si>
  <si>
    <t>Пр-т Миру, 9</t>
  </si>
  <si>
    <t>Корабельна, 7</t>
  </si>
  <si>
    <t>1 Травня, 4а</t>
  </si>
  <si>
    <t>Олександрійська, 7</t>
  </si>
  <si>
    <t>Корабельна, 9</t>
  </si>
  <si>
    <t>ЛИСТ 13</t>
  </si>
  <si>
    <t>ЛИСТ 14</t>
  </si>
  <si>
    <t>ЛИСТ 15</t>
  </si>
  <si>
    <t>ЛИСТ 16 гуртожитки</t>
  </si>
  <si>
    <t>Корабельна, 2а</t>
  </si>
  <si>
    <t>Хантадзе, 2</t>
  </si>
  <si>
    <t>Корабельна, 8</t>
  </si>
  <si>
    <t>Олександрійська, 16</t>
  </si>
  <si>
    <t>Хантадзе, 12</t>
  </si>
  <si>
    <t>Хантадзе, 4</t>
  </si>
  <si>
    <t>Торгова, 1</t>
  </si>
  <si>
    <t>Паркова , 20А</t>
  </si>
  <si>
    <t>Хантадзе, 14</t>
  </si>
  <si>
    <t>Хантадзе, 8</t>
  </si>
  <si>
    <t>Садова, 23</t>
  </si>
  <si>
    <t>пров.Шкільний, 4А</t>
  </si>
  <si>
    <t>Шкільний провулок, 2</t>
  </si>
  <si>
    <t>Хантадзе, 10</t>
  </si>
  <si>
    <t>Перемоги, 1</t>
  </si>
  <si>
    <t>Шкільний провулок, 4</t>
  </si>
  <si>
    <t>Хантадзе, 12а</t>
  </si>
  <si>
    <t>Перемоги, 8</t>
  </si>
  <si>
    <t>Данченко, 15</t>
  </si>
  <si>
    <t>Хантадзе, 16</t>
  </si>
  <si>
    <t>Перемоги, 10</t>
  </si>
  <si>
    <t>Данченко, 16</t>
  </si>
  <si>
    <t>пл.Праці, 3</t>
  </si>
  <si>
    <t>Данченко, 20</t>
  </si>
  <si>
    <t>пл.Праці, 9</t>
  </si>
  <si>
    <t>Данченко, 22</t>
  </si>
  <si>
    <t>пл.Праці, 9а</t>
  </si>
  <si>
    <t>Данченко, 24</t>
  </si>
  <si>
    <t>пл.Праці, 7а</t>
  </si>
  <si>
    <t>Данченко, 26</t>
  </si>
  <si>
    <t>пл.Праці, 11</t>
  </si>
  <si>
    <t>Пр-т Миру, 4а</t>
  </si>
  <si>
    <t>пл.Праці, 11а</t>
  </si>
  <si>
    <t>Пр-т Миру, 4б</t>
  </si>
  <si>
    <t>Шевченко, 10</t>
  </si>
  <si>
    <t>Пр-т Миру, 6а</t>
  </si>
  <si>
    <t>Зелена, 2б</t>
  </si>
  <si>
    <t>ЗВІТ</t>
  </si>
  <si>
    <t xml:space="preserve">про виконання Кошторису </t>
  </si>
  <si>
    <t>Загальна житлова площа будинку</t>
  </si>
  <si>
    <t>кв.м.</t>
  </si>
  <si>
    <t>кв.м</t>
  </si>
  <si>
    <t>№ з/п</t>
  </si>
  <si>
    <t>Складова витрат на утримання будинку та прибудинкової території та поточний ремонт спільного майна будинку</t>
  </si>
  <si>
    <t>Вартість фактично виконаних робіт(послуг) за 2024 рік, грн.</t>
  </si>
  <si>
    <t>Перелік фактично виконаних робіт</t>
  </si>
  <si>
    <t>I.</t>
  </si>
  <si>
    <t>Прибирання прибудинкової території</t>
  </si>
  <si>
    <t>Щоденно</t>
  </si>
  <si>
    <t>Прибирання приміщень загального користув.( підвал, горища, сх.клітки у разі наявності послуги)</t>
  </si>
  <si>
    <t>Косіння трави</t>
  </si>
  <si>
    <t>В сезон по мірі необхідності</t>
  </si>
  <si>
    <t>Технічне обслуговування ліфтів</t>
  </si>
  <si>
    <t xml:space="preserve">Відповідно до умов договору </t>
  </si>
  <si>
    <t>Обслуговування систем диспетчеризації</t>
  </si>
  <si>
    <t>Цілодобово</t>
  </si>
  <si>
    <t>Технічне обслуговування внутрішньобудинкових систем , димових та вентканалів</t>
  </si>
  <si>
    <t>Відповідно до вимог наказу Мінрегіонбуду від 15.08.2018 року №219</t>
  </si>
  <si>
    <t xml:space="preserve">Технічне обслуговування внутрішньобудинкових систем: </t>
  </si>
  <si>
    <t>холодного водопостачання та водовідведення</t>
  </si>
  <si>
    <t>теплопостачання</t>
  </si>
  <si>
    <t>електропостачання та електрообладнання</t>
  </si>
  <si>
    <t>Постійно</t>
  </si>
  <si>
    <t>Дератизація</t>
  </si>
  <si>
    <t>Дезинсекція</t>
  </si>
  <si>
    <t>Поточний ремонт спільного майна:</t>
  </si>
  <si>
    <t xml:space="preserve"> Внутрішньобудинкових систем: </t>
  </si>
  <si>
    <t>Конструкт.елементів зовнішнього упорядження та іншого спільного майна</t>
  </si>
  <si>
    <t>Матеріальні витрати(спецодяг,інструмент, паливо, інше)</t>
  </si>
  <si>
    <t>Матеріальні витрати(спецодяг,інструмент,паливо,інше)</t>
  </si>
  <si>
    <t>Освітлення місць загального користування і підвалів та пікачування води</t>
  </si>
  <si>
    <t>Енергопостачання ліфтів</t>
  </si>
  <si>
    <t>Загальна сума витрат без урахування ПДВ</t>
  </si>
  <si>
    <t>Загальна сума витрат з урахуванням ПДВ</t>
  </si>
  <si>
    <t>Фактично нараховано по будинку за 2024 рік</t>
  </si>
  <si>
    <t>Фактично сплачено населенням</t>
  </si>
  <si>
    <t>Заборгованність населення станом на 01.01.2025 р.</t>
  </si>
  <si>
    <r>
      <t>витрат на утримання будинку та прибудинкової території</t>
    </r>
    <r>
      <rPr>
        <b/>
        <sz val="11"/>
        <color indexed="8"/>
        <rFont val="Times New Roman"/>
        <family val="1"/>
        <charset val="204"/>
      </rPr>
      <t xml:space="preserve"> по вул.Лазурна, 3</t>
    </r>
  </si>
  <si>
    <r>
      <t>витрат на утримання будинку та прибудинкової території</t>
    </r>
    <r>
      <rPr>
        <b/>
        <sz val="11"/>
        <color indexed="8"/>
        <rFont val="Times New Roman"/>
        <family val="1"/>
        <charset val="204"/>
      </rPr>
      <t xml:space="preserve"> по вул.Лазурна, 7</t>
    </r>
  </si>
  <si>
    <r>
      <t>витрат на утримання будинку та прибудинкової території</t>
    </r>
    <r>
      <rPr>
        <b/>
        <sz val="11"/>
        <color indexed="8"/>
        <rFont val="Times New Roman"/>
        <family val="1"/>
        <charset val="204"/>
      </rPr>
      <t xml:space="preserve"> по пр-ту Миру, 20а</t>
    </r>
  </si>
  <si>
    <r>
      <t>витрат на утримання будинку та прибудинкової території</t>
    </r>
    <r>
      <rPr>
        <b/>
        <sz val="11"/>
        <color indexed="8"/>
        <rFont val="Times New Roman"/>
        <family val="1"/>
        <charset val="204"/>
      </rPr>
      <t xml:space="preserve"> по пр-ту Миру, 35г</t>
    </r>
  </si>
  <si>
    <t>Накладні витрати</t>
  </si>
  <si>
    <r>
      <t>витрат на утримання будинку та прибудинкової території</t>
    </r>
    <r>
      <rPr>
        <b/>
        <sz val="11"/>
        <color indexed="8"/>
        <rFont val="Times New Roman"/>
        <family val="1"/>
        <charset val="204"/>
      </rPr>
      <t xml:space="preserve"> по вул.Парусна, 10</t>
    </r>
  </si>
  <si>
    <r>
      <t>витрат на утримання будинку та прибудинкової території</t>
    </r>
    <r>
      <rPr>
        <b/>
        <sz val="11"/>
        <color indexed="8"/>
        <rFont val="Times New Roman"/>
        <family val="1"/>
        <charset val="204"/>
      </rPr>
      <t xml:space="preserve"> по вул.Парусна, 2а</t>
    </r>
  </si>
  <si>
    <r>
      <t>витрат на утримання будинку та прибудинкової території</t>
    </r>
    <r>
      <rPr>
        <b/>
        <sz val="11"/>
        <color indexed="8"/>
        <rFont val="Times New Roman"/>
        <family val="1"/>
        <charset val="204"/>
      </rPr>
      <t xml:space="preserve"> по вул.В.Шума, 13а</t>
    </r>
  </si>
  <si>
    <r>
      <t>витрат на утримання будинку та прибудинкової території</t>
    </r>
    <r>
      <rPr>
        <b/>
        <sz val="11"/>
        <color indexed="8"/>
        <rFont val="Times New Roman"/>
        <family val="1"/>
        <charset val="204"/>
      </rPr>
      <t xml:space="preserve"> по вул.В.Шума, 21</t>
    </r>
  </si>
  <si>
    <r>
      <t>витрат на утримання будинку та прибудинкової території</t>
    </r>
    <r>
      <rPr>
        <b/>
        <sz val="11"/>
        <color indexed="8"/>
        <rFont val="Times New Roman"/>
        <family val="1"/>
        <charset val="204"/>
      </rPr>
      <t xml:space="preserve"> по вул.Паркова, 34</t>
    </r>
  </si>
  <si>
    <r>
      <t>витрат на утримання будинку та прибудинкової території</t>
    </r>
    <r>
      <rPr>
        <b/>
        <sz val="11"/>
        <color indexed="8"/>
        <rFont val="Times New Roman"/>
        <family val="1"/>
        <charset val="204"/>
      </rPr>
      <t xml:space="preserve"> по пр-ту Миру, 32</t>
    </r>
  </si>
  <si>
    <r>
      <t>витрат на утримання будинку та прибудинкової території</t>
    </r>
    <r>
      <rPr>
        <b/>
        <sz val="11"/>
        <color indexed="8"/>
        <rFont val="Times New Roman"/>
        <family val="1"/>
        <charset val="204"/>
      </rPr>
      <t xml:space="preserve"> по пр-ту Миру, 25</t>
    </r>
  </si>
  <si>
    <r>
      <t>витрат на утримання будинку та прибудинкової території</t>
    </r>
    <r>
      <rPr>
        <b/>
        <sz val="11"/>
        <color indexed="8"/>
        <rFont val="Times New Roman"/>
        <family val="1"/>
        <charset val="204"/>
      </rPr>
      <t xml:space="preserve"> по пр-ту Миру, 27</t>
    </r>
  </si>
  <si>
    <r>
      <t>витрат на утримання будинку та прибудинкової території</t>
    </r>
    <r>
      <rPr>
        <b/>
        <sz val="11"/>
        <color indexed="8"/>
        <rFont val="Times New Roman"/>
        <family val="1"/>
        <charset val="204"/>
      </rPr>
      <t xml:space="preserve"> по пр-ту Миру, 29</t>
    </r>
  </si>
  <si>
    <r>
      <t>витрат на утримання будинку та прибудинкової території</t>
    </r>
    <r>
      <rPr>
        <b/>
        <sz val="11"/>
        <color indexed="8"/>
        <rFont val="Times New Roman"/>
        <family val="1"/>
        <charset val="204"/>
      </rPr>
      <t xml:space="preserve"> по вул.Парусна, 14</t>
    </r>
  </si>
  <si>
    <r>
      <t>витрат на утримання будинку та прибудинкової території</t>
    </r>
    <r>
      <rPr>
        <b/>
        <sz val="11"/>
        <color indexed="8"/>
        <rFont val="Times New Roman"/>
        <family val="1"/>
        <charset val="204"/>
      </rPr>
      <t xml:space="preserve"> по вул.Парусна, 16</t>
    </r>
  </si>
  <si>
    <r>
      <t>витрат на утримання будинку та прибудинкової території</t>
    </r>
    <r>
      <rPr>
        <b/>
        <sz val="11"/>
        <color indexed="8"/>
        <rFont val="Times New Roman"/>
        <family val="1"/>
        <charset val="204"/>
      </rPr>
      <t xml:space="preserve"> по вул.В.Шума, 17а</t>
    </r>
  </si>
  <si>
    <r>
      <t>витрат на утримання будинку та прибудинкової території</t>
    </r>
    <r>
      <rPr>
        <b/>
        <sz val="11"/>
        <color indexed="8"/>
        <rFont val="Times New Roman"/>
        <family val="1"/>
        <charset val="204"/>
      </rPr>
      <t xml:space="preserve"> по пр-ту Мира, 19</t>
    </r>
  </si>
  <si>
    <t>витрат на утримання будинку та прибуд.території по вул.Олександрійська, 18</t>
  </si>
  <si>
    <t>витрат на утримання будинку та прибуд.території по вул.Олександрійська, 19</t>
  </si>
  <si>
    <t>витрат на утримання будинку та прибуд.території по вул.Олександрійська, 20</t>
  </si>
  <si>
    <t>витрат на утримання будинку та прибуд.території по вул.Олександрійська, 24</t>
  </si>
  <si>
    <t>витрат на утримання будинку та прибудинкової території по вул.Парусна, 2</t>
  </si>
  <si>
    <t>витрат на утримання будинку та прибудинкової території по вул.Парусна, 4</t>
  </si>
  <si>
    <t>витрат на утримання будинку та прибудинкової території по вул.Парусна, 4а</t>
  </si>
  <si>
    <t>витрат на утримання будинку та прибудинкової території по вул.Парусна, 6</t>
  </si>
  <si>
    <t>витрат на утримання будинку та прибудинкової території по вул.Парусна, 11</t>
  </si>
  <si>
    <t>витрат на утримання будинку та прибудинкової території по вул.Парусна, 12</t>
  </si>
  <si>
    <t>витрат на утримання будинку та прибудинкової території по вул.Парусна, 13</t>
  </si>
  <si>
    <t>витрат на утримання будинку та прибуд. території по вул.Шевченка, 2а</t>
  </si>
  <si>
    <t>витрат на утримання будинку та прибуд, території по вул.Шевченка, 5а</t>
  </si>
  <si>
    <t>витрат на утримання будинку та прибуд. території по вул.Шевченка, 6</t>
  </si>
  <si>
    <t>витрат на утримання будинку та прибуд. території по вул.Шевченка, 11</t>
  </si>
  <si>
    <t>витрат на утримання будинку та прибуд. території по вул.Шевченка, 13</t>
  </si>
  <si>
    <t>витрат на утримання будинку та прибуд, території по вул.Корабельній,4</t>
  </si>
  <si>
    <t>витрат на утримання будинку та прибуд, території по вул.Корабельній,6</t>
  </si>
  <si>
    <t>витрат на утримання будинку та прибуд, території по вул.Корабельній,12</t>
  </si>
  <si>
    <t>витрат на утримання будинку та прибуд, території по вул.Корабельній,2</t>
  </si>
  <si>
    <t>витрат на утримання будинку та прибуд, території по вул.Корабельній,3</t>
  </si>
  <si>
    <t>витрат на утримання будинку та прибудинкової території по вул.Данченко, 4</t>
  </si>
  <si>
    <t>витрат на утримання будинку та прибудинкової території по вул.Данченко, 6</t>
  </si>
  <si>
    <t>витрат на утримання будинку та прибудинкової території по вул.Данченко, 7</t>
  </si>
  <si>
    <t xml:space="preserve">  Поточний ремонт, заміна безтраншейним способом випусків госпфекальної каналізації (24 пог.м.) за адресою вул. Данченка, 7 (1,2,3,4 під’їзд) -  123 606,27грн</t>
  </si>
  <si>
    <t>витрат на утримання будинку та прибуд. території по вул.В.Шума, 6</t>
  </si>
  <si>
    <t>витрат на утримання будинку та прибуд. території по вул.В.Шума, 6а</t>
  </si>
  <si>
    <t>витрат на утримання будинку та прибуд. території по вул.В.Шума, 9</t>
  </si>
  <si>
    <t>витрат на утримання будинку та прибуд. території по вул.В.Шума, 11</t>
  </si>
  <si>
    <t>витрат на утримання будинку та прибуд. території по вул.В.Шума, 13</t>
  </si>
  <si>
    <t>витрат на утримання будинку та прибуд. території по вул.В.Шума, 15</t>
  </si>
  <si>
    <t>витрат на утримання будинку та прибуд. території по вул.В.Шума, 17</t>
  </si>
  <si>
    <t>витрат на утримання будинку та прибуд. території по вул.В.Шума, 19</t>
  </si>
  <si>
    <t>витрат на утримання будинку та прибуд.території по вул.Олександрійська, 12</t>
  </si>
  <si>
    <t>витрат на утримання будинку та прибуд.території по вул.Олександрійська, 18а</t>
  </si>
  <si>
    <t>витрат на утримання будинку та прибудинкової території по вул.Парусна, 3</t>
  </si>
  <si>
    <t>витрат на утримання будинку та прибудинкової території по вул.Парусна, 5</t>
  </si>
  <si>
    <t>ОСББ</t>
  </si>
  <si>
    <t>Вартість фактично виконаних робіт(послуг) за 2021 рік,грн.</t>
  </si>
  <si>
    <t>Заборгованність станом на 01.01.2021 року</t>
  </si>
  <si>
    <t>Фактично нараховано по будинку за 2021 рік</t>
  </si>
  <si>
    <t>Заборгованність населення станом на 01.01.2023 р.</t>
  </si>
  <si>
    <t>витрат на утримання будинку та прибудинкової території по вул.Парусна, 7</t>
  </si>
  <si>
    <t>витрат на утримання будинку та прибудинкової території по вул.Парусна, 9</t>
  </si>
  <si>
    <t>витрат на утримання будинку та прибуд. території по вул.Спортивна, 3</t>
  </si>
  <si>
    <t>витрат на утримання будинку та прибуд. території по вул.Спортивна, 5</t>
  </si>
  <si>
    <t>витрат на утримання будинку та прибуд. території по вул.Спортивна, 6</t>
  </si>
  <si>
    <t>витрат на утримання будинку та прибуд. території по вул.Спортивна, 8</t>
  </si>
  <si>
    <t>витрат на утримання будинку та прибуд. території по вул.Спортивна, 12</t>
  </si>
  <si>
    <t>витрат на утримання будинку та прибуд. території по вул.Спортивна, 12а</t>
  </si>
  <si>
    <t>витрат на утримання будинку та прибуд. території по вул.Спортивна, 6а</t>
  </si>
  <si>
    <t>витрат на утримання будинку та прибуд. території по вул.Паркова, 4</t>
  </si>
  <si>
    <t>витрат на утримання будинку та прибуд. території по вул.Паркова, 6</t>
  </si>
  <si>
    <t>витрат на утримання будинку та прибуд. території по вул.Паркова, 8</t>
  </si>
  <si>
    <t>витрат на утримання будинку та прибудинкової території по пр-ту Миру, 35б</t>
  </si>
  <si>
    <t>витрат на утримання будинку та прибудинкової території по пр-ту Миру, 15а</t>
  </si>
  <si>
    <t>витрат на утримання будинку та прибуд. території по вул.Спортивна, 10</t>
  </si>
  <si>
    <t>витрат на утримання будинку та прибуд. території по вул.Паркова, 36</t>
  </si>
  <si>
    <t>витрат на утримання будинку та прибуд.території по вул.Олександрійська, 10</t>
  </si>
  <si>
    <t>витрат на утримання будинку та прибуд.території по вул.Олександрійська, 22</t>
  </si>
  <si>
    <t>витрат на утримання будинку та прибудинкової території по пр-ту Миру, 22</t>
  </si>
  <si>
    <t>витрат на утримання будинку та прибудинкової території по пр-ту Миру, 24</t>
  </si>
  <si>
    <t>витрат на утримання будинку та прибудинкової території по пр-ту Миру, 26</t>
  </si>
  <si>
    <t>витрат на утримання будинку та прибудинкової території по пр-ту Миру, 28</t>
  </si>
  <si>
    <t>витрат на утримання будинку та прибуд. території по вул.Данченко, 1</t>
  </si>
  <si>
    <t>витрат на утримання будинку та прибудинкової території по пр-ту Миру, 39</t>
  </si>
  <si>
    <t>витрат на утримання будинку та прибудинкової території по пр-ту Миру, 41</t>
  </si>
  <si>
    <t>витрат на утримання будинку та прибудинкової території по пр-ту Миру, 43</t>
  </si>
  <si>
    <t>витрат на утримання будинку та прибуд.території по вул.Олександрійська, 11</t>
  </si>
  <si>
    <t>витрат на утримання будинку та прибуд.території по вул.Олександрійська, 13</t>
  </si>
  <si>
    <t>витрат на утримання будинку та прибуд.території по вул.Олександрійська, 15</t>
  </si>
  <si>
    <t>витрат на утримання будинку та прибуд. території по вул.Данченко, 3б</t>
  </si>
  <si>
    <r>
      <t>витрат на утримання будинку та прибуд.території</t>
    </r>
    <r>
      <rPr>
        <b/>
        <sz val="11"/>
        <color indexed="8"/>
        <rFont val="Times New Roman"/>
        <family val="1"/>
        <charset val="204"/>
      </rPr>
      <t xml:space="preserve"> по вул.Паркова, 8а</t>
    </r>
  </si>
  <si>
    <r>
      <t>витрат на утримання будинку та прибуд.території</t>
    </r>
    <r>
      <rPr>
        <b/>
        <sz val="11"/>
        <color indexed="8"/>
        <rFont val="Times New Roman"/>
        <family val="1"/>
        <charset val="204"/>
      </rPr>
      <t xml:space="preserve"> по вул.Паркова, 10</t>
    </r>
  </si>
  <si>
    <r>
      <t>витрат на утримання будинку та прибуд.території</t>
    </r>
    <r>
      <rPr>
        <b/>
        <sz val="11"/>
        <color indexed="8"/>
        <rFont val="Times New Roman"/>
        <family val="1"/>
        <charset val="204"/>
      </rPr>
      <t xml:space="preserve"> по вул.Паркова, 12</t>
    </r>
  </si>
  <si>
    <r>
      <t>витрат на утримання будинку та прибуд.території</t>
    </r>
    <r>
      <rPr>
        <b/>
        <sz val="11"/>
        <color indexed="8"/>
        <rFont val="Times New Roman"/>
        <family val="1"/>
        <charset val="204"/>
      </rPr>
      <t xml:space="preserve"> по вул.Паркова, 14</t>
    </r>
  </si>
  <si>
    <r>
      <t>витрат на утримання будинку та прибуд.території</t>
    </r>
    <r>
      <rPr>
        <b/>
        <sz val="11"/>
        <color indexed="8"/>
        <rFont val="Times New Roman"/>
        <family val="1"/>
        <charset val="204"/>
      </rPr>
      <t xml:space="preserve"> по вул.Паркова, 16</t>
    </r>
  </si>
  <si>
    <r>
      <t>витрат на утримання будинку та прибуд.території</t>
    </r>
    <r>
      <rPr>
        <b/>
        <sz val="11"/>
        <color indexed="8"/>
        <rFont val="Times New Roman"/>
        <family val="1"/>
        <charset val="204"/>
      </rPr>
      <t xml:space="preserve"> по вул.Паркова, 18</t>
    </r>
  </si>
  <si>
    <r>
      <t>витрат на утримання будинку та прибуд.території</t>
    </r>
    <r>
      <rPr>
        <b/>
        <sz val="11"/>
        <color indexed="8"/>
        <rFont val="Times New Roman"/>
        <family val="1"/>
        <charset val="204"/>
      </rPr>
      <t xml:space="preserve"> по вул.Паркова, 20</t>
    </r>
  </si>
  <si>
    <r>
      <t>витрат на утримання будинку та прибуд.території</t>
    </r>
    <r>
      <rPr>
        <b/>
        <sz val="11"/>
        <color indexed="8"/>
        <rFont val="Times New Roman"/>
        <family val="1"/>
        <charset val="204"/>
      </rPr>
      <t xml:space="preserve"> по вул.Паркова, 22</t>
    </r>
  </si>
  <si>
    <r>
      <t>витрат на утримання будинку та прибуд.території</t>
    </r>
    <r>
      <rPr>
        <b/>
        <sz val="11"/>
        <color indexed="8"/>
        <rFont val="Times New Roman"/>
        <family val="1"/>
        <charset val="204"/>
      </rPr>
      <t xml:space="preserve"> по вул.Паркова, 24</t>
    </r>
  </si>
  <si>
    <r>
      <t>витрат на утримання будинку та прибуд.території</t>
    </r>
    <r>
      <rPr>
        <b/>
        <sz val="11"/>
        <color indexed="8"/>
        <rFont val="Times New Roman"/>
        <family val="1"/>
        <charset val="204"/>
      </rPr>
      <t xml:space="preserve"> по вул.Паркова, 26</t>
    </r>
  </si>
  <si>
    <r>
      <t>витрат на утримання будинку та прибуд.території</t>
    </r>
    <r>
      <rPr>
        <b/>
        <sz val="11"/>
        <color indexed="8"/>
        <rFont val="Times New Roman"/>
        <family val="1"/>
        <charset val="204"/>
      </rPr>
      <t xml:space="preserve"> по вул.Паркова, 2</t>
    </r>
  </si>
  <si>
    <r>
      <t>витрат на утримання будинку та прибуд.території</t>
    </r>
    <r>
      <rPr>
        <b/>
        <sz val="11"/>
        <color indexed="8"/>
        <rFont val="Times New Roman"/>
        <family val="1"/>
        <charset val="204"/>
      </rPr>
      <t xml:space="preserve"> по вул.Паркова, 2а</t>
    </r>
  </si>
  <si>
    <r>
      <t>витрат на утримання будинку та прибудинкової території</t>
    </r>
    <r>
      <rPr>
        <b/>
        <sz val="11"/>
        <color indexed="8"/>
        <rFont val="Times New Roman"/>
        <family val="1"/>
        <charset val="204"/>
      </rPr>
      <t xml:space="preserve"> по пр-ту Миру, 11</t>
    </r>
  </si>
  <si>
    <r>
      <t>витрат на утримання будинку та прибудинкової території</t>
    </r>
    <r>
      <rPr>
        <b/>
        <sz val="11"/>
        <color indexed="8"/>
        <rFont val="Times New Roman"/>
        <family val="1"/>
        <charset val="204"/>
      </rPr>
      <t xml:space="preserve"> по пр-ту Миру, 13а</t>
    </r>
  </si>
  <si>
    <r>
      <t>витрат на утримання будинку та прибудинкової території</t>
    </r>
    <r>
      <rPr>
        <b/>
        <sz val="11"/>
        <color indexed="8"/>
        <rFont val="Times New Roman"/>
        <family val="1"/>
        <charset val="204"/>
      </rPr>
      <t xml:space="preserve"> по пр-ту Миру, 17</t>
    </r>
  </si>
  <si>
    <r>
      <t>витрат на утримання будинку та прибудинкової території</t>
    </r>
    <r>
      <rPr>
        <b/>
        <sz val="11"/>
        <color indexed="8"/>
        <rFont val="Times New Roman"/>
        <family val="1"/>
        <charset val="204"/>
      </rPr>
      <t xml:space="preserve"> по пр-ту Миру, 21</t>
    </r>
  </si>
  <si>
    <r>
      <t>витрат на утримання будинку та прибудинкової території</t>
    </r>
    <r>
      <rPr>
        <b/>
        <sz val="11"/>
        <color indexed="8"/>
        <rFont val="Times New Roman"/>
        <family val="1"/>
        <charset val="204"/>
      </rPr>
      <t xml:space="preserve"> по пр-ту Миру, 23</t>
    </r>
  </si>
  <si>
    <r>
      <t>витрат на утримання будинку та прибудинкової території</t>
    </r>
    <r>
      <rPr>
        <b/>
        <sz val="11"/>
        <color indexed="8"/>
        <rFont val="Times New Roman"/>
        <family val="1"/>
        <charset val="204"/>
      </rPr>
      <t xml:space="preserve"> по пр-ту Миру, 15б</t>
    </r>
  </si>
  <si>
    <r>
      <t>витрат на утримання будинку та прибуд. території</t>
    </r>
    <r>
      <rPr>
        <b/>
        <sz val="11"/>
        <color indexed="8"/>
        <rFont val="Times New Roman"/>
        <family val="1"/>
        <charset val="204"/>
      </rPr>
      <t xml:space="preserve"> по вул.Данченко, 5</t>
    </r>
  </si>
  <si>
    <r>
      <t>витрат на утримання будинку та прибуд. території</t>
    </r>
    <r>
      <rPr>
        <b/>
        <sz val="11"/>
        <color indexed="8"/>
        <rFont val="Times New Roman"/>
        <family val="1"/>
        <charset val="204"/>
      </rPr>
      <t xml:space="preserve"> по вул.Данченко, 5а</t>
    </r>
  </si>
  <si>
    <t>Заборгованність станом на 01.01.2025 року</t>
  </si>
  <si>
    <r>
      <t>витрат на утримання будинку та прибуд. території</t>
    </r>
    <r>
      <rPr>
        <b/>
        <sz val="11"/>
        <color indexed="8"/>
        <rFont val="Times New Roman"/>
        <family val="1"/>
        <charset val="204"/>
      </rPr>
      <t xml:space="preserve"> по вул.Данченко, 3а</t>
    </r>
  </si>
  <si>
    <r>
      <t>витрат на утримання будинку та прибуд. території</t>
    </r>
    <r>
      <rPr>
        <b/>
        <sz val="11"/>
        <color indexed="8"/>
        <rFont val="Times New Roman"/>
        <family val="1"/>
        <charset val="204"/>
      </rPr>
      <t xml:space="preserve"> по вул.Данченко, 3в</t>
    </r>
  </si>
  <si>
    <r>
      <t>витрат на утримання будинку та прибуд. території</t>
    </r>
    <r>
      <rPr>
        <b/>
        <sz val="11"/>
        <color indexed="8"/>
        <rFont val="Times New Roman"/>
        <family val="1"/>
        <charset val="204"/>
      </rPr>
      <t xml:space="preserve"> по вул.Данченко, 1а</t>
    </r>
  </si>
  <si>
    <r>
      <t>витрат на утримання будинку та прибуд. території</t>
    </r>
    <r>
      <rPr>
        <b/>
        <sz val="11"/>
        <color indexed="8"/>
        <rFont val="Times New Roman"/>
        <family val="1"/>
        <charset val="204"/>
      </rPr>
      <t xml:space="preserve"> по вул.Данченко, 3</t>
    </r>
  </si>
  <si>
    <r>
      <t>витрат на утримання будинку та прибуд.території</t>
    </r>
    <r>
      <rPr>
        <b/>
        <sz val="11"/>
        <color indexed="8"/>
        <rFont val="Times New Roman"/>
        <family val="1"/>
        <charset val="204"/>
      </rPr>
      <t xml:space="preserve"> по вул.1 Травня, 2а</t>
    </r>
  </si>
  <si>
    <r>
      <t>витрат на утримання будинку та прибудинкової території</t>
    </r>
    <r>
      <rPr>
        <b/>
        <sz val="11"/>
        <color indexed="8"/>
        <rFont val="Times New Roman"/>
        <family val="1"/>
        <charset val="204"/>
      </rPr>
      <t xml:space="preserve"> по вул.Данченко, 2</t>
    </r>
  </si>
  <si>
    <r>
      <t>витрат на утримання будинку та прибудинкової території</t>
    </r>
    <r>
      <rPr>
        <b/>
        <sz val="11"/>
        <color indexed="8"/>
        <rFont val="Times New Roman"/>
        <family val="1"/>
        <charset val="204"/>
      </rPr>
      <t xml:space="preserve"> по вул.Данченко, 8</t>
    </r>
  </si>
  <si>
    <r>
      <t>витрат на утримання будинку та прибудинкової території</t>
    </r>
    <r>
      <rPr>
        <b/>
        <sz val="11"/>
        <color indexed="8"/>
        <rFont val="Times New Roman"/>
        <family val="1"/>
        <charset val="204"/>
      </rPr>
      <t xml:space="preserve"> по вул.Данченко, 9</t>
    </r>
  </si>
  <si>
    <r>
      <t>витрат на утримання будинку та прибудинкової території</t>
    </r>
    <r>
      <rPr>
        <b/>
        <sz val="11"/>
        <color indexed="8"/>
        <rFont val="Times New Roman"/>
        <family val="1"/>
        <charset val="204"/>
      </rPr>
      <t xml:space="preserve"> по вул.Данченко, 10</t>
    </r>
  </si>
  <si>
    <r>
      <t>витрат на утримання будинку та прибудинкової території</t>
    </r>
    <r>
      <rPr>
        <b/>
        <sz val="11"/>
        <color indexed="8"/>
        <rFont val="Times New Roman"/>
        <family val="1"/>
        <charset val="204"/>
      </rPr>
      <t xml:space="preserve"> по вул.Данченко, 11</t>
    </r>
  </si>
  <si>
    <r>
      <t>витрат на утримання будинку та прибуд. території</t>
    </r>
    <r>
      <rPr>
        <b/>
        <sz val="11"/>
        <color indexed="8"/>
        <rFont val="Times New Roman"/>
        <family val="1"/>
        <charset val="204"/>
      </rPr>
      <t xml:space="preserve"> по вул.Данченко, 12</t>
    </r>
  </si>
  <si>
    <r>
      <t>витрат на утримання будинку та прибуд. території</t>
    </r>
    <r>
      <rPr>
        <b/>
        <sz val="11"/>
        <color indexed="8"/>
        <rFont val="Times New Roman"/>
        <family val="1"/>
        <charset val="204"/>
      </rPr>
      <t xml:space="preserve"> по вул.Данченко, 13</t>
    </r>
  </si>
  <si>
    <r>
      <t>витрат на утримання будинку та прибуд. території</t>
    </r>
    <r>
      <rPr>
        <b/>
        <sz val="11"/>
        <color indexed="8"/>
        <rFont val="Times New Roman"/>
        <family val="1"/>
        <charset val="204"/>
      </rPr>
      <t xml:space="preserve"> по вул.Данченко, 14</t>
    </r>
  </si>
  <si>
    <r>
      <t>витрат на утримання будинку та прибуд. території</t>
    </r>
    <r>
      <rPr>
        <b/>
        <sz val="11"/>
        <color indexed="8"/>
        <rFont val="Times New Roman"/>
        <family val="1"/>
        <charset val="204"/>
      </rPr>
      <t xml:space="preserve"> по вул.Данченко, 17</t>
    </r>
  </si>
  <si>
    <r>
      <t>витрат на утримання будинку та прибуд. території</t>
    </r>
    <r>
      <rPr>
        <b/>
        <sz val="11"/>
        <color indexed="8"/>
        <rFont val="Times New Roman"/>
        <family val="1"/>
        <charset val="204"/>
      </rPr>
      <t xml:space="preserve"> по вул.Данченко, 19</t>
    </r>
  </si>
  <si>
    <r>
      <t>витрат на утримання будинку та прибуд. території</t>
    </r>
    <r>
      <rPr>
        <b/>
        <sz val="11"/>
        <color indexed="8"/>
        <rFont val="Times New Roman"/>
        <family val="1"/>
        <charset val="204"/>
      </rPr>
      <t xml:space="preserve"> по вул.Данченко, 21</t>
    </r>
  </si>
  <si>
    <r>
      <t>витрат на утримання будинку та прибуд.території</t>
    </r>
    <r>
      <rPr>
        <b/>
        <sz val="11"/>
        <color indexed="8"/>
        <rFont val="Times New Roman"/>
        <family val="1"/>
        <charset val="204"/>
      </rPr>
      <t xml:space="preserve"> по вул.Олександрійська, 1</t>
    </r>
  </si>
  <si>
    <r>
      <t>витрат на утримання будинку та прибуд.території</t>
    </r>
    <r>
      <rPr>
        <b/>
        <sz val="11"/>
        <color indexed="8"/>
        <rFont val="Times New Roman"/>
        <family val="1"/>
        <charset val="204"/>
      </rPr>
      <t xml:space="preserve"> по вул.Олександрійська, 3</t>
    </r>
  </si>
  <si>
    <r>
      <t>витрат на утримання будинку та прибуд.території</t>
    </r>
    <r>
      <rPr>
        <b/>
        <sz val="11"/>
        <color indexed="8"/>
        <rFont val="Times New Roman"/>
        <family val="1"/>
        <charset val="204"/>
      </rPr>
      <t xml:space="preserve"> по вул.Олександрійська, 5</t>
    </r>
  </si>
  <si>
    <r>
      <t>витрат на утримання будинку та прибуд.території</t>
    </r>
    <r>
      <rPr>
        <b/>
        <sz val="11"/>
        <color indexed="8"/>
        <rFont val="Times New Roman"/>
        <family val="1"/>
        <charset val="204"/>
      </rPr>
      <t xml:space="preserve"> по вул.Олександрійська, 7</t>
    </r>
  </si>
  <si>
    <r>
      <t>витрат на утримання будинку та прибуд.території</t>
    </r>
    <r>
      <rPr>
        <b/>
        <sz val="11"/>
        <color indexed="8"/>
        <rFont val="Times New Roman"/>
        <family val="1"/>
        <charset val="204"/>
      </rPr>
      <t xml:space="preserve"> по вул.Олександрійська, 9</t>
    </r>
  </si>
  <si>
    <r>
      <t>витрат на утримання будинку та прибудинкової території</t>
    </r>
    <r>
      <rPr>
        <b/>
        <sz val="11"/>
        <color indexed="8"/>
        <rFont val="Times New Roman"/>
        <family val="1"/>
        <charset val="204"/>
      </rPr>
      <t xml:space="preserve"> по пр-ту Миру, 3</t>
    </r>
  </si>
  <si>
    <r>
      <t>витрат на утримання будинку та прибуд.території</t>
    </r>
    <r>
      <rPr>
        <b/>
        <sz val="11"/>
        <color indexed="8"/>
        <rFont val="Times New Roman"/>
        <family val="1"/>
        <charset val="204"/>
      </rPr>
      <t xml:space="preserve"> по вул.Олександрійська, 4</t>
    </r>
  </si>
  <si>
    <r>
      <t>витрат на утримання будинку та прибуд.території</t>
    </r>
    <r>
      <rPr>
        <b/>
        <sz val="11"/>
        <color indexed="8"/>
        <rFont val="Times New Roman"/>
        <family val="1"/>
        <charset val="204"/>
      </rPr>
      <t xml:space="preserve"> по вул.Олександрійська, 2</t>
    </r>
  </si>
  <si>
    <r>
      <t>витрат на утримання будинку та прибудинкової території</t>
    </r>
    <r>
      <rPr>
        <b/>
        <sz val="11"/>
        <color indexed="8"/>
        <rFont val="Times New Roman"/>
        <family val="1"/>
        <charset val="204"/>
      </rPr>
      <t xml:space="preserve"> по пр-ту Миру, 1</t>
    </r>
  </si>
  <si>
    <r>
      <t>витрат на утримання будинку та прибудинкової території</t>
    </r>
    <r>
      <rPr>
        <b/>
        <sz val="11"/>
        <color indexed="8"/>
        <rFont val="Times New Roman"/>
        <family val="1"/>
        <charset val="204"/>
      </rPr>
      <t xml:space="preserve"> по пр-ту Миру, 2</t>
    </r>
  </si>
  <si>
    <r>
      <t>витрат на утримання будинку та прибудинкової території</t>
    </r>
    <r>
      <rPr>
        <b/>
        <sz val="11"/>
        <color indexed="8"/>
        <rFont val="Times New Roman"/>
        <family val="1"/>
        <charset val="204"/>
      </rPr>
      <t xml:space="preserve"> по пр-ту Миру, 3а</t>
    </r>
  </si>
  <si>
    <r>
      <t>витрат на утримання будинку та прибуд.території</t>
    </r>
    <r>
      <rPr>
        <b/>
        <sz val="11"/>
        <color indexed="8"/>
        <rFont val="Times New Roman"/>
        <family val="1"/>
        <charset val="204"/>
      </rPr>
      <t xml:space="preserve"> по вул.Олександрійська, 2а</t>
    </r>
  </si>
  <si>
    <r>
      <t>витрат на утримання будинку та прибуд.території</t>
    </r>
    <r>
      <rPr>
        <b/>
        <sz val="11"/>
        <color indexed="8"/>
        <rFont val="Times New Roman"/>
        <family val="1"/>
        <charset val="204"/>
      </rPr>
      <t xml:space="preserve"> по вул.Олександрійська, 4а</t>
    </r>
  </si>
  <si>
    <r>
      <t>витрат на утримання будинку та прибудинкової території</t>
    </r>
    <r>
      <rPr>
        <b/>
        <sz val="11"/>
        <color indexed="8"/>
        <rFont val="Times New Roman"/>
        <family val="1"/>
        <charset val="204"/>
      </rPr>
      <t xml:space="preserve"> по пр-ту Миру, 4</t>
    </r>
  </si>
  <si>
    <r>
      <t>витрат на утримання будинку та прибудинкової території</t>
    </r>
    <r>
      <rPr>
        <b/>
        <sz val="11"/>
        <color indexed="8"/>
        <rFont val="Times New Roman"/>
        <family val="1"/>
        <charset val="204"/>
      </rPr>
      <t xml:space="preserve"> по пр-ту Миру, 6</t>
    </r>
  </si>
  <si>
    <r>
      <t>витрат на утримання будинку та прибудинкової території</t>
    </r>
    <r>
      <rPr>
        <b/>
        <sz val="11"/>
        <color indexed="8"/>
        <rFont val="Times New Roman"/>
        <family val="1"/>
        <charset val="204"/>
      </rPr>
      <t xml:space="preserve"> по пр-ту Миру, 7а</t>
    </r>
  </si>
  <si>
    <r>
      <t>витрат на утримання будинку та прибудинкової території</t>
    </r>
    <r>
      <rPr>
        <b/>
        <sz val="11"/>
        <color indexed="8"/>
        <rFont val="Times New Roman"/>
        <family val="1"/>
        <charset val="204"/>
      </rPr>
      <t xml:space="preserve"> по пр-ту Миру, 8</t>
    </r>
  </si>
  <si>
    <r>
      <t>витрат на утримання будинку та прибудинкової території</t>
    </r>
    <r>
      <rPr>
        <b/>
        <sz val="11"/>
        <color indexed="8"/>
        <rFont val="Times New Roman"/>
        <family val="1"/>
        <charset val="204"/>
      </rPr>
      <t xml:space="preserve"> по пр-ту Миру, 9</t>
    </r>
  </si>
  <si>
    <r>
      <t>витрат на утримання будинку та прибудинкової території</t>
    </r>
    <r>
      <rPr>
        <b/>
        <sz val="11"/>
        <color indexed="8"/>
        <rFont val="Times New Roman"/>
        <family val="1"/>
        <charset val="204"/>
      </rPr>
      <t xml:space="preserve"> по пр-ту Миру, 10</t>
    </r>
  </si>
  <si>
    <r>
      <t>витрат на утримання будинку та прибудинкової території</t>
    </r>
    <r>
      <rPr>
        <b/>
        <sz val="11"/>
        <color indexed="8"/>
        <rFont val="Times New Roman"/>
        <family val="1"/>
        <charset val="204"/>
      </rPr>
      <t xml:space="preserve"> по пр-ту Миру, 12</t>
    </r>
  </si>
  <si>
    <r>
      <t>витрат на утримання будинку та прибудинкової території</t>
    </r>
    <r>
      <rPr>
        <b/>
        <sz val="11"/>
        <color indexed="8"/>
        <rFont val="Times New Roman"/>
        <family val="1"/>
        <charset val="204"/>
      </rPr>
      <t xml:space="preserve"> по пр-ту Миру, 14а</t>
    </r>
  </si>
  <si>
    <r>
      <t>витрат на утримання будинку та прибудинкової території</t>
    </r>
    <r>
      <rPr>
        <b/>
        <sz val="11"/>
        <color indexed="8"/>
        <rFont val="Times New Roman"/>
        <family val="1"/>
        <charset val="204"/>
      </rPr>
      <t xml:space="preserve"> по пр-ту Миру, 16</t>
    </r>
  </si>
  <si>
    <r>
      <t>витрат на утримання будинку та прибудинкової території</t>
    </r>
    <r>
      <rPr>
        <b/>
        <sz val="11"/>
        <color indexed="8"/>
        <rFont val="Times New Roman"/>
        <family val="1"/>
        <charset val="204"/>
      </rPr>
      <t xml:space="preserve"> по пр-ту Миру, 18</t>
    </r>
  </si>
  <si>
    <r>
      <t>витрат на утримання будинку та прибудинкової території</t>
    </r>
    <r>
      <rPr>
        <b/>
        <sz val="11"/>
        <color indexed="8"/>
        <rFont val="Times New Roman"/>
        <family val="1"/>
        <charset val="204"/>
      </rPr>
      <t xml:space="preserve"> по пр-ту Миру, 5а</t>
    </r>
  </si>
  <si>
    <r>
      <t>витрат на утримання будинку та прибудинкової території</t>
    </r>
    <r>
      <rPr>
        <b/>
        <sz val="11"/>
        <color indexed="8"/>
        <rFont val="Times New Roman"/>
        <family val="1"/>
        <charset val="204"/>
      </rPr>
      <t xml:space="preserve"> по пр-ту Миру, 7</t>
    </r>
  </si>
  <si>
    <r>
      <t>витрат на утримання будинку та прибудинкової території</t>
    </r>
    <r>
      <rPr>
        <b/>
        <sz val="11"/>
        <color indexed="8"/>
        <rFont val="Times New Roman"/>
        <family val="1"/>
        <charset val="204"/>
      </rPr>
      <t xml:space="preserve"> по пр-ту Миру, 18а</t>
    </r>
  </si>
  <si>
    <r>
      <t>витрат на утримання будинку та прибуд, території</t>
    </r>
    <r>
      <rPr>
        <b/>
        <sz val="11"/>
        <color indexed="8"/>
        <rFont val="Times New Roman"/>
        <family val="1"/>
        <charset val="204"/>
      </rPr>
      <t xml:space="preserve"> по вул.Корабельній,4б</t>
    </r>
  </si>
  <si>
    <r>
      <t>витрат на утримання будинку та прибуд, території</t>
    </r>
    <r>
      <rPr>
        <b/>
        <sz val="11"/>
        <color indexed="8"/>
        <rFont val="Times New Roman"/>
        <family val="1"/>
        <charset val="204"/>
      </rPr>
      <t xml:space="preserve"> по вул.Корабельній,4а</t>
    </r>
  </si>
  <si>
    <r>
      <t>витрат на утримання будинку та прибуд, території</t>
    </r>
    <r>
      <rPr>
        <b/>
        <sz val="11"/>
        <color indexed="8"/>
        <rFont val="Times New Roman"/>
        <family val="1"/>
        <charset val="204"/>
      </rPr>
      <t xml:space="preserve"> по вул.Корабельній, 5</t>
    </r>
  </si>
  <si>
    <r>
      <t>витрат на утримання будинку та прибуд, території</t>
    </r>
    <r>
      <rPr>
        <b/>
        <sz val="11"/>
        <color indexed="8"/>
        <rFont val="Times New Roman"/>
        <family val="1"/>
        <charset val="204"/>
      </rPr>
      <t xml:space="preserve"> по вул.Корабельній, 6а</t>
    </r>
  </si>
  <si>
    <r>
      <t>витрат на утримання будинку та прибуд, території</t>
    </r>
    <r>
      <rPr>
        <b/>
        <sz val="11"/>
        <color indexed="8"/>
        <rFont val="Times New Roman"/>
        <family val="1"/>
        <charset val="204"/>
      </rPr>
      <t xml:space="preserve"> по вул.Корабельній, 7</t>
    </r>
  </si>
  <si>
    <r>
      <t>витрат на утримання будинку та прибуд, території</t>
    </r>
    <r>
      <rPr>
        <b/>
        <sz val="11"/>
        <color indexed="8"/>
        <rFont val="Times New Roman"/>
        <family val="1"/>
        <charset val="204"/>
      </rPr>
      <t xml:space="preserve"> по вул.Корабельній, 9</t>
    </r>
  </si>
  <si>
    <r>
      <t>витрат на утримання будинку та прибуд, території</t>
    </r>
    <r>
      <rPr>
        <b/>
        <sz val="11"/>
        <color indexed="8"/>
        <rFont val="Times New Roman"/>
        <family val="1"/>
        <charset val="204"/>
      </rPr>
      <t xml:space="preserve"> по вул.Корабельній, 2а</t>
    </r>
  </si>
  <si>
    <r>
      <t>витрат на утримання будинку та прибудинкової території</t>
    </r>
    <r>
      <rPr>
        <b/>
        <sz val="11"/>
        <color indexed="8"/>
        <rFont val="Times New Roman"/>
        <family val="1"/>
        <charset val="204"/>
      </rPr>
      <t xml:space="preserve"> по вул.Хантадзе, 14</t>
    </r>
  </si>
  <si>
    <r>
      <t>витрат на утримання будинку та прибудинкової території</t>
    </r>
    <r>
      <rPr>
        <b/>
        <sz val="11"/>
        <color indexed="8"/>
        <rFont val="Times New Roman"/>
        <family val="1"/>
        <charset val="204"/>
      </rPr>
      <t xml:space="preserve"> по вул.Хантадзе, 12</t>
    </r>
  </si>
  <si>
    <r>
      <t>витрат на утримання будинку та прибуд. території</t>
    </r>
    <r>
      <rPr>
        <b/>
        <sz val="11"/>
        <color indexed="8"/>
        <rFont val="Times New Roman"/>
        <family val="1"/>
        <charset val="204"/>
      </rPr>
      <t xml:space="preserve"> по вул.Шкільний пров., 2</t>
    </r>
  </si>
  <si>
    <r>
      <t>витрат на утримання будинку та прибуд. території</t>
    </r>
    <r>
      <rPr>
        <b/>
        <sz val="11"/>
        <color indexed="8"/>
        <rFont val="Times New Roman"/>
        <family val="1"/>
        <charset val="204"/>
      </rPr>
      <t xml:space="preserve"> по вул.Шкільний пров., 4</t>
    </r>
  </si>
  <si>
    <r>
      <t>витрат на утримання будинку та прибудинкової території</t>
    </r>
    <r>
      <rPr>
        <b/>
        <sz val="11"/>
        <color indexed="8"/>
        <rFont val="Times New Roman"/>
        <family val="1"/>
        <charset val="204"/>
      </rPr>
      <t xml:space="preserve"> по пр-ту Миру, 4а</t>
    </r>
  </si>
  <si>
    <r>
      <t>витрат на утримання будинку та прибудинкової території</t>
    </r>
    <r>
      <rPr>
        <b/>
        <sz val="11"/>
        <color indexed="8"/>
        <rFont val="Times New Roman"/>
        <family val="1"/>
        <charset val="204"/>
      </rPr>
      <t xml:space="preserve"> по пр-ту Миру, 4б</t>
    </r>
  </si>
  <si>
    <r>
      <t>витрат на утримання будинку та прибудинкової території</t>
    </r>
    <r>
      <rPr>
        <b/>
        <sz val="11"/>
        <color indexed="8"/>
        <rFont val="Times New Roman"/>
        <family val="1"/>
        <charset val="204"/>
      </rPr>
      <t xml:space="preserve"> по пр-ту Миру, 6а</t>
    </r>
  </si>
  <si>
    <r>
      <t>витрат на утримання будинку та прибудинкової території</t>
    </r>
    <r>
      <rPr>
        <b/>
        <sz val="11"/>
        <color indexed="8"/>
        <rFont val="Times New Roman"/>
        <family val="1"/>
        <charset val="204"/>
      </rPr>
      <t xml:space="preserve"> по вул.Данченко, 15</t>
    </r>
  </si>
  <si>
    <r>
      <t>витрат на утримання будинку та прибудинкової території</t>
    </r>
    <r>
      <rPr>
        <b/>
        <sz val="11"/>
        <color indexed="8"/>
        <rFont val="Times New Roman"/>
        <family val="1"/>
        <charset val="204"/>
      </rPr>
      <t xml:space="preserve"> по вул.Данченко, 16</t>
    </r>
  </si>
  <si>
    <r>
      <t>витрат на утримання будинку та прибудинкової території</t>
    </r>
    <r>
      <rPr>
        <b/>
        <sz val="11"/>
        <color indexed="8"/>
        <rFont val="Times New Roman"/>
        <family val="1"/>
        <charset val="204"/>
      </rPr>
      <t xml:space="preserve"> по вул.Данченко, 20</t>
    </r>
  </si>
  <si>
    <r>
      <t>витрат на утримання будинку та прибудинкової території</t>
    </r>
    <r>
      <rPr>
        <b/>
        <sz val="11"/>
        <color indexed="8"/>
        <rFont val="Times New Roman"/>
        <family val="1"/>
        <charset val="204"/>
      </rPr>
      <t xml:space="preserve"> по вул.Данченко, 22</t>
    </r>
  </si>
  <si>
    <r>
      <t>витрат на утримання будинку та прибудинкової території</t>
    </r>
    <r>
      <rPr>
        <b/>
        <sz val="11"/>
        <color indexed="8"/>
        <rFont val="Times New Roman"/>
        <family val="1"/>
        <charset val="204"/>
      </rPr>
      <t xml:space="preserve"> по вул.Данченко, 24</t>
    </r>
  </si>
  <si>
    <r>
      <t>витрат на утримання будинку та прибудинкової території</t>
    </r>
    <r>
      <rPr>
        <b/>
        <sz val="11"/>
        <color indexed="8"/>
        <rFont val="Times New Roman"/>
        <family val="1"/>
        <charset val="204"/>
      </rPr>
      <t xml:space="preserve"> по вул.Данченко, 26</t>
    </r>
  </si>
  <si>
    <r>
      <t>витрат на утримання будинку та прибудинкової території</t>
    </r>
    <r>
      <rPr>
        <b/>
        <sz val="11"/>
        <color indexed="8"/>
        <rFont val="Times New Roman"/>
        <family val="1"/>
        <charset val="204"/>
      </rPr>
      <t xml:space="preserve"> по вул.Хантадзе, 12а</t>
    </r>
  </si>
  <si>
    <r>
      <t>витрат на утримання будинку та прибудинкової території</t>
    </r>
    <r>
      <rPr>
        <b/>
        <sz val="11"/>
        <color indexed="8"/>
        <rFont val="Times New Roman"/>
        <family val="1"/>
        <charset val="204"/>
      </rPr>
      <t xml:space="preserve"> по вул.Хантадзе, 10</t>
    </r>
  </si>
  <si>
    <r>
      <t>витрат на утримання будинку та прибудинкової території</t>
    </r>
    <r>
      <rPr>
        <b/>
        <sz val="11"/>
        <color indexed="8"/>
        <rFont val="Times New Roman"/>
        <family val="1"/>
        <charset val="204"/>
      </rPr>
      <t xml:space="preserve"> по вул.Хантадзе, 16</t>
    </r>
  </si>
  <si>
    <r>
      <t>витрат на утримання будинку та прибудинкової території</t>
    </r>
    <r>
      <rPr>
        <b/>
        <sz val="11"/>
        <color indexed="8"/>
        <rFont val="Times New Roman"/>
        <family val="1"/>
        <charset val="204"/>
      </rPr>
      <t xml:space="preserve"> по вул.Хантадзе, 2</t>
    </r>
  </si>
  <si>
    <r>
      <t>витрат на утримання будинку та прибудинкової території</t>
    </r>
    <r>
      <rPr>
        <b/>
        <sz val="11"/>
        <color indexed="8"/>
        <rFont val="Times New Roman"/>
        <family val="1"/>
        <charset val="204"/>
      </rPr>
      <t xml:space="preserve"> по вул.Хантадзе, 4</t>
    </r>
  </si>
  <si>
    <r>
      <t>витрат на утримання будинку та прибудинкової території</t>
    </r>
    <r>
      <rPr>
        <b/>
        <sz val="11"/>
        <color indexed="8"/>
        <rFont val="Times New Roman"/>
        <family val="1"/>
        <charset val="204"/>
      </rPr>
      <t xml:space="preserve"> по вул.Хантадзе, 8</t>
    </r>
  </si>
  <si>
    <r>
      <t>витрат на утримання будинку та прибудинкової території</t>
    </r>
    <r>
      <rPr>
        <b/>
        <sz val="11"/>
        <color indexed="8"/>
        <rFont val="Times New Roman"/>
        <family val="1"/>
        <charset val="204"/>
      </rPr>
      <t xml:space="preserve"> по площі Праці, 3</t>
    </r>
  </si>
  <si>
    <r>
      <t>витрат на утримання будинку та прибудинкової території</t>
    </r>
    <r>
      <rPr>
        <b/>
        <sz val="11"/>
        <color indexed="8"/>
        <rFont val="Times New Roman"/>
        <family val="1"/>
        <charset val="204"/>
      </rPr>
      <t xml:space="preserve"> по площі Праці, 9</t>
    </r>
  </si>
  <si>
    <r>
      <t>витрат на утримання будинку та прибудинкової території</t>
    </r>
    <r>
      <rPr>
        <b/>
        <sz val="11"/>
        <color indexed="8"/>
        <rFont val="Times New Roman"/>
        <family val="1"/>
        <charset val="204"/>
      </rPr>
      <t xml:space="preserve"> по площі Праці, 11</t>
    </r>
  </si>
  <si>
    <r>
      <t>витрат на утримання будинку та прибудинкової території</t>
    </r>
    <r>
      <rPr>
        <b/>
        <sz val="11"/>
        <color indexed="8"/>
        <rFont val="Times New Roman"/>
        <family val="1"/>
        <charset val="204"/>
      </rPr>
      <t xml:space="preserve"> по площі Праці, 7а</t>
    </r>
  </si>
  <si>
    <r>
      <t>витрат на утримання будинку та прибудинкової території</t>
    </r>
    <r>
      <rPr>
        <b/>
        <sz val="11"/>
        <color indexed="8"/>
        <rFont val="Times New Roman"/>
        <family val="1"/>
        <charset val="204"/>
      </rPr>
      <t xml:space="preserve"> по площі Праці, 9а</t>
    </r>
  </si>
  <si>
    <r>
      <t>витрат на утримання будинку та прибудинкової території</t>
    </r>
    <r>
      <rPr>
        <b/>
        <sz val="11"/>
        <color indexed="8"/>
        <rFont val="Times New Roman"/>
        <family val="1"/>
        <charset val="204"/>
      </rPr>
      <t xml:space="preserve"> по площі Праці, 11а</t>
    </r>
  </si>
  <si>
    <r>
      <t>витрат на утримання будинку та прибудинкової території</t>
    </r>
    <r>
      <rPr>
        <b/>
        <sz val="11"/>
        <color indexed="8"/>
        <rFont val="Times New Roman"/>
        <family val="1"/>
        <charset val="204"/>
      </rPr>
      <t xml:space="preserve"> по вул.Шевченко, 10</t>
    </r>
  </si>
  <si>
    <r>
      <t>витрат на утримання будинку та прибудинкової території</t>
    </r>
    <r>
      <rPr>
        <b/>
        <sz val="11"/>
        <color indexed="8"/>
        <rFont val="Times New Roman"/>
        <family val="1"/>
        <charset val="204"/>
      </rPr>
      <t xml:space="preserve"> по вул.Зелена, 2б</t>
    </r>
  </si>
  <si>
    <r>
      <t>витрат на утримання будинку та прибудинкової території</t>
    </r>
    <r>
      <rPr>
        <b/>
        <sz val="11"/>
        <color indexed="8"/>
        <rFont val="Times New Roman"/>
        <family val="1"/>
        <charset val="204"/>
      </rPr>
      <t xml:space="preserve"> по вул.Корабельній,8</t>
    </r>
  </si>
  <si>
    <r>
      <t>витрат на утримання будинку та прибудинкової території</t>
    </r>
    <r>
      <rPr>
        <b/>
        <sz val="11"/>
        <color indexed="8"/>
        <rFont val="Times New Roman"/>
        <family val="1"/>
        <charset val="204"/>
      </rPr>
      <t xml:space="preserve"> по вул.Торгова, 1</t>
    </r>
  </si>
  <si>
    <r>
      <t>витрат на утримання будинку та прибудинкової території</t>
    </r>
    <r>
      <rPr>
        <b/>
        <sz val="11"/>
        <color indexed="8"/>
        <rFont val="Times New Roman"/>
        <family val="1"/>
        <charset val="204"/>
      </rPr>
      <t xml:space="preserve"> по вул.Садовій, 23</t>
    </r>
  </si>
  <si>
    <r>
      <t>витрат на утримання будинку та прибудинкової території</t>
    </r>
    <r>
      <rPr>
        <b/>
        <sz val="11"/>
        <color indexed="8"/>
        <rFont val="Times New Roman"/>
        <family val="1"/>
        <charset val="204"/>
      </rPr>
      <t xml:space="preserve"> по скверу Перемоги, 1</t>
    </r>
  </si>
  <si>
    <r>
      <t>витрат на утримання будинку та прибудинкової території</t>
    </r>
    <r>
      <rPr>
        <b/>
        <sz val="11"/>
        <color indexed="8"/>
        <rFont val="Times New Roman"/>
        <family val="1"/>
        <charset val="204"/>
      </rPr>
      <t xml:space="preserve"> по скверу Перемоги, 8</t>
    </r>
  </si>
  <si>
    <r>
      <t>витрат на утримання будинку та прибудинкової території</t>
    </r>
    <r>
      <rPr>
        <b/>
        <sz val="11"/>
        <color indexed="8"/>
        <rFont val="Times New Roman"/>
        <family val="1"/>
        <charset val="204"/>
      </rPr>
      <t xml:space="preserve"> по скверу Перемоги, 10</t>
    </r>
  </si>
  <si>
    <r>
      <t xml:space="preserve">витрат на утримання гуртожитку та прибудинкової території </t>
    </r>
    <r>
      <rPr>
        <b/>
        <sz val="11"/>
        <color indexed="8"/>
        <rFont val="Times New Roman"/>
        <family val="1"/>
        <charset val="204"/>
      </rPr>
      <t>по вул.Олександрійська, 16</t>
    </r>
  </si>
  <si>
    <r>
      <t>витрат на утримання гуртожитку та прибудинкової території</t>
    </r>
    <r>
      <rPr>
        <b/>
        <sz val="11"/>
        <color indexed="8"/>
        <rFont val="Times New Roman"/>
        <family val="1"/>
        <charset val="204"/>
      </rPr>
      <t xml:space="preserve"> по вул.Паркова, 20А</t>
    </r>
  </si>
  <si>
    <r>
      <t>витрат на утримання гуртожитку та прибудинкової території</t>
    </r>
    <r>
      <rPr>
        <b/>
        <sz val="11"/>
        <color indexed="8"/>
        <rFont val="Times New Roman"/>
        <family val="1"/>
        <charset val="204"/>
      </rPr>
      <t xml:space="preserve"> по пров.Шкільний, 4А</t>
    </r>
  </si>
  <si>
    <t>за період з 01.01.2025 року  по  31.12.2025 року.</t>
  </si>
  <si>
    <t>Вартість фактично виконаних робіт(послуг) за 2025 рік, грн.</t>
  </si>
  <si>
    <t>Вартість фактично виконаних робіт(послуг) за 2025 рік,грн.</t>
  </si>
  <si>
    <t>Фактично нараховано по будинку за 2025 рік</t>
  </si>
  <si>
    <t>Заборгованність населення станом на 01.01.2026 р.</t>
  </si>
  <si>
    <t>Заборгованність населення станом на 01.01.2026р.</t>
  </si>
  <si>
    <t xml:space="preserve">Фактично нараховано по будинку за 2025 рік </t>
  </si>
  <si>
    <t>Заборгованність станом на 01.01.2025року</t>
  </si>
  <si>
    <t xml:space="preserve">кв.82 - заміна пошкодженого трубопроводу водопостачання Ду32 - 1,0 м.п.  (1 під., 6 поверх) - заміна пошкодженого трубопроводу х/води/ урізування пожежного крана на головний стояк кран кульовий Ду50 – 1 шт., різьба 50 - 1 шт.  кв.42 - заміна пошкодженого трубопроводу водопостачання Ду32 - 1,0 м.п. кв.101 - заміна пошкодженого трубопроводу водопостачання Ду25 - 0,5 м.п.  (1 під.) - монтаж поливального трубопроводу труба МТП 16х2мм - 6,0 м.п., кран кульовий Ду15 - 2 шт., муфта Ду16х1/2*- 2 шт., коліно Ду½* - 2 шт., лічильник – 1 шт., фільтр Ду15 – 1 шт., приєднувальний комплект Ду15 - 1 шт. (2 під.) - заміна пошкодженого трубопроводу водопостачання Ду25 - 0,5 м.п.   (1 під.) – ремонт трубопроводу водопостачання, встановлення ремкомплекту Ду50 – 1 шт.   Встановлення ремкомплектів на трубопроводи х/води (1 під.) Ду65 - 1 шт.    кв.2 - заміна трубопроводу опалення Ду20 – 1 м.п.; Ремонт та підготовка до гідравлічного випробування системи опалення: ремонт засувок Ду100 - 4 шт., Ду80 - 3 шт., Ду50 - 5 шт., ремонт кранів Ду25 - 7 шт., Ду20 - 6 шт., Ду15 - 4 шт., заміна кранів кульових Ду25 - 2 шт., Ду20 - 3 шт., Ду15 - 2 шт., заміна трубопроводу в підпіллі Ду2 0- 4,0 м.п.  Ремонт та гідравлічне випробування системи опалення:  заміна трубопроводу Ду20 - 2,0 м.п., кран кульовий Ду20 - 1 шт., заміна кранів Ду25 - 2 шт., Ду15 - 3 шт. Бойлер опалення: ремонт засувок Ду100 - 5 шт., ремонт кранів Ду20 - 4 шт., Ду15 - 3 шт., заміна кранів Ду20 - 2 шт., Ду15 - 3 шт. Часткова заміна трубопроводу запитувального, американка 1*- 1 шт.  (2 під.) - заміна пошкодженого трубопроводу опалення Ду20 - 0,5 м.п., кран кульовий Ду20 - 1 шт.  Переключення опалення будинка на більш потужний насос. Монтаж запитувального трубопроводу будинку ППР труба Ду25 - 16,0 м.п., коліно Ду32х1*, перехід Ду32х25 – 1 шт., коліно Ду25х90 – 8 шт., американка 25х3/3/4 – 2 шт., перехід Ду25х3/4* - 1 шт.    кв.104 - заміна пошкодженого трубопроводу каналізації Ду110 -2,0 м.п.   кв.138 - заміна пошкодженого трубопроводу водовідведення Ду110 - 2,0 м.п., трійник Ду110/110/50 - 1 шт., муфта вставна Ду110/110 – 1 шт., компенсатор Ду110 - 1 шт., перехід Ду124/110 - 1 шт.   «Укриття» - заміна змивного механізму на унітазі - 1 шт.    (1 під.) - ремонт двірних грат входу в підпілля/ел. зварювання/.  Ремонт запірних пристроїв місць встановлення генераторів.  (2 під.) – ремонт дверей виходу на дах, електрозварювальні роботи.   Прибирання та вивіз автомобільних шин з прибудинкової території. На дитячому майданчику ремонт пісочниці.  Ремонт лавок прибудинкові – 3 лавки (4 рейки). Фарбування лавок прибудинкові  – 8 шт.  Ремонт огорожі площадки для сміттєвих контейнерів, проф.трруба 40х40 – 16 м.п., 40х20 – 30 м.п.  Фарбування елементів дитячих майданчиків – 1 шт. Демонтаж адресної таблички с старого зразку. Зафарбування написів наркотичного змісту на фасадах будинків – 2 кв.м. Ремонт огорожі майданчика для контейнерів ТБО, встановлення 5-ти секцій, ремонт покриття майданчика для контейнерів ТБО,  цементне стягування – 2 кв.м.   Транспортування та встановлення лав - 4 шт. (демонтованих з парку Приморський) в Укритті. Закладання вікон в Укритті мішками з піском – 20 шт.  Виготовлення та встановлення 5-ти віконниць на вікна підвалу з металу на вік, мет. лист δ2мм – 4 шт., проф.труба 20х20 – 24 м.п.  Виготовлення, фарбування та встановлення антівандальної мет. конструкції для генератору: проф.труба 60х60 – 24 м.п., 60х60 – 8 м.п., 40х40 – 18 м.п., 40х20 – 14 м.п., арматура Д12 – 4 м.п., петлі – 8 шт., полоса  40 – 2 м.п., сітка 2х2,5 – 4 шт.  ТО обслуговування ВРЩ-0,4кВ заміна наконечників на ввідному кабелі д120 – 2 шт., заміна перемички АПВ 120 – 1,5 м;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Заміна лічильника з ДТЄК в ВРЩ-0,4кВ на житловом будинку. Монтаж кабельної лінії від нового генератора: кабель ПВС 4х6 - 100 м.п., гофра 32 - 50 м.п., блок на 24 модуля навесной, АВР 63А 3-х фазний - 2 шт.  </t>
  </si>
  <si>
    <t xml:space="preserve">кв.17 - заміна частки трубопроводу водопостачання Ду25 - 2,5 м.п.   (3 під.) - заміна пошкодженого трубопроводу х/води Ду50 - 2,0 м.п.  (3 під.) - встановлення лічильника х/в на поливальний трубопровід.  кв.2 - заміна пошкодженого трубопроводу х/води Ду15 - 0,5 м.п., кран Ду15 - 1 шт.  Встановлення ремкомплектів на трубопроводи г/води: (1 під.) Ду25 – 1 шт. Встановлення ремкомплектів на трубопроводах г/води:  (3 під.) Ду80 – 1 шт.,  (1 під.) Ду32 - 1 шт. Набивка сальників на засувка опалення:  Ду50 – 2 шт.   Ремонт та підготовка до гідравлічного випробування системи опалення: ремонт засувок Ду80 - 3 шт., Ду50 – 8 шт., ремонт кранів Ду25 – 8 шт., Ду20 - 22 шт., Ду15 - 3 шт., заміна кранів кульових Ду15 - 2 шт., Ду20 – 3 шт.   кв.16 - заміна трубопроводу водовідведення Ду110 - 1,0 м.п.   кв.17 - ремонт, заміна трубопроводу водовідведення Ду110 - 2,5 м.п., компенсатор – 1 шт.  (3п.) – заміна трубопроводу каналізації Ду110 – 1 м.п., перехід Ду110/124 – 1 шт., коліно Ду110х45 – 1 шт. (3 під.) - заміна пошкодженого трубопроводу каналізації Ду110 - 2,0 м.п. (2 під.) - заміна частки трубопроводу водовідведення Ду110 – 0,5 м.п.   Фарбування лавок прибудинкові – 8 шт. Фарбування лавок (місто) – 2 шт.  Фарбування лавок прибудинкові – 5 шт.  Фарбування урн прибудинкові – 12 шт. Фарбування елементів 2-х дитячих майданчиків. (згідно заяви мешканців) переустановлення лави  на куточку відпочинку, ремонт урни для сміття (зварювальні роботи). (За будинком) на дитячому майданчику ремонт балансиру, ремонт гойдалки, заміна 2-х підшипників.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</si>
  <si>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кв.19 – заміна пошкодженого трубопроводу  холодної води, труба Ду32 - 2,0 м.п., Ду15 - 2,0 м.п., кран кульовий Ду15 - 2 шт.   кв.49/46 - заміна пошкодженого трубопроводу х/води Ду25 - 3,0 м.п, муфта Ду25 – 1 шт., перехід Ду25х1/2 - 1 шт., трійник Ду25х1/2 - 1 шт.  Встановлення лічильників на трубопроводи поливу квітників: (1п.), (5 під.) - 2 шт.  кв.3 - заміна лічильника х/води - 1 шт. (учасник БД). (3 під.) - заміна трубопроводу водопостачання по підвалу Ду40 - 2,0 м.п.  Встановлювання ремкомплектів на трубопроводі г/води: (5під.) Ду50 – 1 шт.  Ремонт засувок в елеваторних вузлах, набивання сальників: Ду80 – 2 шт.  Ремонт та гідравлічне випробування системи опалення: ремонт засувок Ду80 – 7 шт., Ду50 - 5 шт., ремонт кранів Ду20 – 22 шт., Ду15 – 8 шт.    (5 під.) - заміна трубопроводу водовідведення Ду110 - 4,0 м.п., коліно Ду110х45 - 7 шт., трійник Ду110х45 - 3 шт.  Поточний ремонт покрівлі: кв.97 – 5 кв.м.,  кв.19, 20, 63, 78, 97 – 10 кв.м., кв.97 - задувка піною під відливом, затягування клеєм.  кв.100 – 3 кв.м., кв.78, 79 – 60 кв.м.  кв.65 – 5 кв.м.  Фарбування лав для відпочинку – 5 шт. Фарбування урн –  3 шт. (5 під.) - ремонт лави для відпочинку, заміна 2-х рейок.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</si>
  <si>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(1 під.) – х/в ремонт ділянки лежака Ду50 – 1 м.п., врізання до лежака  Ду25 – 1 шт., ремонт крану кульового Ду25 – 1 шт., ремонт труби Ду15 – 0,5 м.п.,  ремонт  крану кульового Ду15 – 2 шт.  (3 під.) – х/в ремонт ділянки лежака, заміна труба Ду32 – 3,5 м.п., врізання до лежака Ду32 – 1 шт., заміна крану кульового Ду32 – 1 шт., ремонт труби Ду15 – 0,5 м.п., заміна крану кульового Ду15 – 1 шт.    (2 під.) – х/в ремонт ділянки лежака, заміна труба Ду32 – 3,5 м.п., врізання до лежака Ду32 – 1 шт., заміна крану кульового Ду32 – 1 шт., ремонт труби Ду15 – 0,5 м.п., заміна крану кульового Ду15 – 1 шт. (3 під.) – х/в ремонт ділянки лежака, ремонт ділянки труби Ду25 – 1,5 м.п., ремонт врізання труби Ду25 – 0,5 м.п., ремонт крану кульового Ду25 – 1 шт.   (5 під., укриття) – х/в, каналізація ремонт обладнання, заміна комплекту до фаянсового бачка унітазу з бічним підключенням – 1 шт., заміна сифону до умивальника – 1 шт.  (5 під., майстерня) – х/в, г/в ремонт системи водопостачання, встановлення водонагрівач ємнісний (бойлер) об'ємом 80 л – 1 шт.  кв.124 – х/в ремонт ділянки стояка Ду20 – 1 м.п., ремонт врізання Ду15 – 0,5 м.п., ремонт крану кульового Ду15 – 1 шт.  (1 ел.) – ремонт та гідравлічне випробування системи ц/о: ремонт ділянки труби Ду57 – 3,5 м.п., Ду25 – 4,5 м.п., заміна засувок Ду50 - 1 шт., ремонт засувки Ду50 - 3 шт., ремонт кранів Ду32 - 2 шт., ремонт вентилів Ду25 – 3 шт., Ду20 – 4 шт., заміна кульових кранів Ду20 - 2 шт., Ду15 - 3 шт., прочищення грязевиків – 2 шт. (2 ел.) – ремонт та гідравлічне випробування системи ц/о: ремонт ділянки труби Ду57 – 2,5 м.п., Ду40 – 4,5 м.п., заміна засувок Ду50 - 1 шт., ремонт засувок Ду50 - 3 шт., ремонт кранів Ду40 - 2 шт., ремонт вентилів Ду25 – 3 шт., Ду20 – 4 шт., заміна кульових кранів Ду20 - 3 шт., Ду15 - 4 шт., прочищення грязевиків – 2 шт.  (4 під.) – ремонт ділянки лежака каналізації, заміна труби ПХВДу110 – 0,5 м.п., муфта вставна Ду110 - 1 шт., муфта перехід ППРДу110 – 1 шт., заміна трійника Ду110 - 1 шт., заміна патрубок компенсаційний ППРДу110 – 1 шт.    (4 під.) – ремонт ділянки лежака каналізації, заміна труба ПХВДу110 – 1 м.п., заміна муфта Ду110 - 1 шт., заміна трійника ППРДу110 – 1 шт., муфта вставна Ду110 -1 шт., муфта перехід ППРДу110 – 1 шт., патрубок компенсаційний ППРДу110 - 1 шт.   (2 під.) – ремонт ділянки лежака каналізації, ремонт труби ПХВ Ду110 – 0,5 м.п., ремонт муфта перехід ППРДу110 – 1 шт., ремонт трійник ППРДу110 – 1 шт., ремонт муфта компенсаційний ППРДу110 – 1 шт.   (4 під.) – заміна каналізаційного випуску Ду110 – 14 м.п. (підрядник).  (1 під.) – ремонт ділянки лежака каналізації, заміна труби ПХВДу110 – 1,5 м.п., заміна муфта Ду110 вставна з PPR HT – 2 шт., заміна манжет Ду110 х127 – 2 шт., заміна коліно ППРДу110 – 5 шт., заміна заглушка ППРДу110 – 4 шт., заміна патрубок компенсаційний ППРДу110 - 2 шт.  (2 під.) – ремонт ділянки лежака каналізації, заміна ділянки труби ПХВДу110 – 1 м.п., заміна коліно ППРДу110 – 3 шт., заміна заглушка ППР Ду110 – 2 шт., заміна патрубок компенсаційний ППРДу110 – 1 шт., заміна муфта перехід ППРДу110 – 1 шт.  (Укриття підвал, 5 під.) – ремонт обладнання умивальника, заміна змішувача – 1 шт., заміна манжет Ду50 –1 шт., заміна шлангу Ду15 – 2 шт., заміна перехідника – 2 шт., заміна сифону - 1 шт. Поточний ремонт покрівлі (1п.) сх.кл – 1 кв.м.  (4 під.) – виготовлення та встановлення дер.дверей на 1 поверсі приміщення (Лозовий), перестановка поштових скриньок – 2 шт.  Фарбування (закрашення) написів на фасадах будівель (наркотичних, інформаційних) – 2 кв.м., 3,3 кв.м. (торець 5п.), 1,5 кв.м. (торець 2п.).    На дитячому майданчику ремонт дитячого ігрового комплексу.   на дитячому майданчику демонтаж гойдалки, транспортування в РБД для ремонту (підшипники).  Фарбування вуличних урн місто (центр) – 5 шт. Фарбування вуличних лавок - 4 шт. внутрішньо дворових.   Фарбування вуличних урн – 4 шт. внутрішньо дворових.  Ремонт вуличних лавок – 1 шт. (рейок – 1 шт.).  Встановлення урни для сміття (центр). Пункт Незламності, ремонт стелі - 6 кв.м. з демонтажем/монтажем.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Перенос роутера в укритті.  </t>
  </si>
  <si>
    <t xml:space="preserve">кв.223 –  х/в ремонт ділянки стояка Ду25 – 1 м.п., ремонт врізання до стояка Ду15 – 1 шт., ремонт крану кульового Ду15 – 1 шт.   кв.52 –  х/в ремонт врізання до стояка, ремонт труби Ду15 – 0,5 м.п.,  врізання до стояка Ду15 – 1 шт., ремонт крану кульового Ду15 – 1 шт.   (4 під.) – х/в ремонт ділянки лежака, ремонт труба Ду25 – 1 м.п., врізання до лежака Ду25 – 1 шт., ремонт крану кульового Ду25 – 1 шт., ремонт труби Ду15 – 1,5 м.п., ремонт крану кульового Ду15 – 2 шт.  кв.3 – х/в ремонт врізання до стояка Ду15 – 0,5 м.п., ремонт врізання до лежака Ду15 – 1 шт., ремонт крану кульового Ду15 – 1 шт.   кв.6 – х/в ремонт врізання до стояка Ду15 – 0,5 м.п., ремонт врізання до лежака Ду15 – 1 шт., ремонт крану кульового Ду15 – 1 шт.  кв.277 – х/в ремонт врізання до стояка Ду15 – 0,5 м.п., ремонт врізання до лежака Ду15 – 1 шт., ремонт крану кульового Ду15 – 1 шт.  кв.33 – х/в ремонт врізання до стояка Ду15 – 0,5 м.п., ремонт врізання Ду15 – 0,5 м.п., ремонт крану кульового Ду15 – 1 шт.  (1 під.) – х/в ремонт ділянки труби Ду25 – 2,5 м.п., ремонт врізання труби Ду25 – 0,5 м.п., ремонт крану кульового Ду25 – 1 шт.  кв.37 – х/в ремонт ділянки труби Ду15 – 1 м.п., ремонт врізання Ду15 – 0,5 м.п., ремонт крану кульового Ду15 – 1 шт. кв.11 – х/в ремонт врізання ділянки стояка, ремонт ділянки труби Ду15 – 1 м.п., ремонт врізання Ду15 – 0,5 м.п., ремонт крану кульового Ду15 – 1 шт.  (кор.Б) – ремонт та гідравлічні випробування системи опалення: ремонт ділянки труби Ду57 – 0,5 м.п., Ду32 – 0,5 м.п., Ду20 – 1,5 м.п., ремонт засувок Ду50 - 3 шт., ремонт кранів Ду32 - 2 шт., ремонт вентилів Ду25 – 3 шт., Ду20 – 4 шт., заміна кульових кранів Ду20 - 1 шт., Ду15 - 2 шт., прочищення грязевиків – 2 шт. (кор.А) – ремонт та гідравлічні випробування системи опалення: ремонт ділянки труби Ду57 – 1,5 м.п., Ду32 – 0,5 м.п., Ду20 – 1,5 м.п., заміна засувок Ду50 - 1 шт., ремонт засувок Ду50 - 3 шт., ремонт кранів Ду32 - 1 шт., ремонт вентилів Ду25 – 1 шт., Ду20 – 2 шт., заміна кульових кранів Ду20 - 2 шт., Ду15 - 2 шт., прочищення грязевиків – 2 шт.  кв.53 – ц/о ремонт ділянки стояка Ду20 – 1,5 м.п., ремонт врізання Ду20 – 0,5 м.п., ремонт крану кульового Ду20 – 1 шт. (4 під.) – ремонт ділянки лежака каналізації, заміна труби ПХВДу110 – 1,5 м.п., муфта вставна Ду110 - 1 шт., заміна коліно ППРДу110 – 1 шт., муфта перехід ППРДу110 – 1 шт., редукція ППРДу110 – 1 шт., заміна патрубок компенсаційний ППРДу110 -1 шт.   (4 під.) – ремонт ділянки лежака каналізації ПХВДу110 – 0,5 м.п., ремонт муфта вставна Ду110 - 1 шт., ремонт коліно ППРДу110 – 1 шт., ремонт муфта перехід ППРДу110 – 1 шт., ремонт патрубок компенсаційний ППРДу110 - 1 шт.   (4 під.) – ремонт ділянки лежака каналізації ПХВДу110 – 1,5 м.п., ремонт муфта вставна Ду110 - 1 шт., ремонт коліно ППРДу110 – 1 шт., ремонт муфта перехід ППРДу110 – 1 шт., ремонт патрубок компенсаційний ППРДу110 - 1 шт.   (1 під.) – ремонт ділянки лежака каналізації, заміна труби ПХВДу110 – 11,5 м.п., заміна ревізія Ду110 - 1 шт., муфта вставна Ду110 - 2 шт., заміна трійник ППРДу110 – 2 шт., муфта перехід ППРДу110 – 1 шт., редукція ППРДу110 – 3 шт., заміна патрубок компенсаційний ППРДу110 – 2 шт., хомут мет. дм. 110 мм. – 4 шт.   (5 під.) – ремонт ділянки лежака каналізації, заміна труби ПХВДу110 – 2,5 м.п., заміна ревізія Ду110 - 1 шт., заміна коліно муфта перехід ППРДу110 – 2 шт., заміна трійник ППРДу110 – 1 шт., заміна муфта компенсаційний ППРДу110 – 1 шт.  (3 під.) – ремонт ділянки лежака каналізації, заміна труби ПХВДу110 – 3,5 м.п., встановлення хомута с дюбелем и шпилькою Ду110 – 3 шт., заміна коліно ППРДу110 – 3 шт., заміна трійник ППРДу110 – 2 шт., заміна муфта компенсаційний ППРДу110 – 1 шт.  (3, 4, 5 під.) – ремонт ділянки стояка підключення до лежака каналізації, заміна труби ПХВДу110 – 6,5 м.п., заміна муфта перехід ППРДу110х50 – 2 шт., ремонт трійник ППРДу110х50 – 2 шт., ремонт муфта компенсаційний ППРДу110 – 2 шт. (підвал, під'їзд  2,3) – ремонт ділянки лежака каналізації, ремонт труби ПХВ Ду110 – 1 м.п.,  ремонт  коліно ППРДу110 – 1 шт., ремонт патрубок компенсаційний ППР Ду110 - 1 шт. (6 під.) – ремонт ділянки лежака каналізації ПХВДу110 – 1,5 м.п., ремонт коліно ППРДу110 – 1 шт., ремонт патрубок компенсаційний ППРДу110 – 1 шт.  (3 під.) – ремонт ділянки лежака каналізації ПХВДу110 – 0,5 м.п., ремонт трійник ППРДу110 – 1 шт., ремонт коліно ППРДу110 – 1 шт.  (5 під.) – ремонт ділянки лежака каналізації ПХВДу110 – 0,5 м.п., ремонт трійник ППРДу110 – 1 шт., заміна коліно ППРДу110 – 3 шт., заміна заглушка ППРДу110 – 2 шт., ремонт муфта перехід ППРДу110 – 1 шт. (4 під.) – ремонт ділянки лежака каналізації, ремонт ділянки труби ПХВДу110 – 1 м.п., ремонт патрубок компенсаційний ППРДу110 – 1 шт., ремонт муфта перехід ППРДу110 – 1 шт.  кв.284 – ремонт ділянки стояка каналізації, ремонт труби ПХВДу110 – 0,5 м.п., ремонт коліно ППРДу110 – 1 шт., ремонт трійник ППРДу110 - 1 шт., ремонт перехід ППРДу110 – 1 шт.  кв.8 – х/в ремонт врізання до стояка, ремонт ділянки труби Ду15 – 1 м.п., ремонт врізання Ду15 – 0,5 м.п., ремонт крану кульового Ду15 – 1 шт.  (5 під.) – ремонт ділянки лежака каналізації, ремонт ділянки труби ПХВДу110 – 0,5 м.п., ремонт муфта ППРДу110 – 1 шт., ремонт коліна ППРДу110 – 1 шт.  Поточний ремонт покрівлі: (5 під. приміщення виходу на покрівлю, кв.236) – 5 кв.м., встановлення карнизного звису – 3 м.п.,  кв.189 – 21 кв.м.,   кв.231, 288 – 10 кв.м.  (3 під., 1 поверх) – ремонт під’їзду.  Фарбування (закрашення) написів на фасадах будівель (наркотичних, інформаційних) – 1,5 кв.м.,  1,5 кв.м. (торець 6п.).   Фарбування вуличних урн – 2 шт. місто (центр).   Фарбування вуличних лавок - 6 шт. внутрішньо дворових.   Ремонт вуличних лавок – 2 шт. (рейок – 4 шт.).  Фарбування дворових поручнів – 3 шт. (біля дороги) – встановлення урни для сміття після ремонту.  Фарбування (закрашення) написів на фасадах будівель (наркотичних, інформаційних) - 2,2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Заміна лічильника з ДТЄК в ВРЩ-0,4кВ на житловом будинку.   </t>
  </si>
  <si>
    <t xml:space="preserve">кв.24 – х/в ремонт врізання до стояка, ремонт труби Ду20 – 0,5 м.п., ремонт врізання до стояка Ду15 – 1 шт., ремонт крану кульового Ду15 – 1 шт. Встановлення лічильників холодної води для поливу прибудинкових клумб: п.3 - 1 шт. кв.13 – х/в ремонт врізання до стояка, ремонт труба Ду15 – 0,5 м.п., ремонт врізання до лежака Ду15 – 1 шт., ремонт крану кульового Ду15 – 1 шт.  Ремонт та гідравлічне випробування системи ц/о: (кор.Б) –  ремонт ділянки труби Ду76 – 0,5 м.п., Ду40 – 0,5 м.п., Ду25 – 0,5 м.п., ремонт засувок Ду50 - 2 шт., ремонт кранів Ду32 - 2 шт., ремонт вентилів Ду25 – 3 шт., Ду20 – 4 шт., заміна кульових кранів Ду15 - 2 шт., прочищення грязевиків – 2 шт.  (кор.А) –  ремонт ділянки труби Ду57 – 0,5 м.п., Ду25 – 0,5 м.п., Ду20 – 0,5 м.п., заміна засувок Ду50 - 1 шт., ремонт засувок Ду50 - 2 шт., ремонт кранів Ду32 - 1 шт., ремонт вентилів Ду25 – 1 шт., Ду20 – 2 шт., заміна кульових кранів Ду20 - 1 шт., Ду15 - 2 шт., прочищення грязевиків – 2 шт. (3 під.) – ремонт ділянки лежака каналізації, заміна труби ПХВДу110 – 3,5 м.п., заміна ревізія Ду110 - 1 шт., муфта вставна Ду110 - 2 шт., заміна трійник ППРДу110 – 2 шт., муфта перехід ППРДу110 – 1 шт., заміна патрубок компенсаційний ППРДу110 – 1 шт.   (3 під.) – ремонт ділянки лежака каналізації ПХВДу110 – 0,5 м.п., ремонт коліно муфта перехід ППРДу110 – 1 шт., ремонт трійник ППРДу110 – 1 шт., ремонт муфта компенсаційний ППРДу110 – 1 шт.   кв.171 – ремонт ділянки стояка каналізації труби ПХВ Ду110 – 0,5 м.п., ремонт муфта ППРДу110 – 1 шт., ремонт патрубок компенсаційний ППРДу110 – 1 шт.  кв.134,124 – ремонт ділянки стояка каналізації, заміна труби ПХВДу110 – 3,5 м.п., заміна коліно ППРДу110 – 3 шт., заміна трійник ППРДу110 – 1 шт., заміна хрестовина ППРДу110 – 1 шт. (5 під.) – ремонт ділянки лежака каналізації ПХВДу110 – 1,5 м.п., ремонт муфта ППРДу110 – 1 шт., ремонт трійник ППРДу110 – 1 шт.   (5 під.) – ремонт ділянки лежака каналізації ПХВДу110 – 1 м.п., ремонт муфта ППРДу110 – 1 шт., ремонт коліно ППРДу110 – 1 шт. кв.32 – ремонт ділянки стояка каналізації, ремонт ділянки труби ПХВДу110 – 0,5 м.п., ремонт муфта ППРДу110 – 1 шт., ремонт коліна ППРДу110 – 1 шт.  (1 під.) – встановлення дверей (б/у) на вхід до підвалу.  Фарбування (закрашення) написів на фасадах будівель (наркотичних, інформаційних)  – 1,6 кв.м.(торець 6п.).  Фарбування вуличних урн – 4 шт. місто . Підрізування дерев та кущів (вишняку) (1 під.).  Фарбування вуличних лавок - 8 шт. внутрішньо дворових.   Фарбування елементів внутрішньо дворових дитячих майданчиків (кор.А,Б) – 2 шт.  Ремонт вуличних лавок – 1 шт. (рейок – 1 шт.). Фарбування (закрашення) написів на фасадах будівель (наркотичних, інформаційних) - 0,5 кв.м. Ремонт ділянки огорожі (забору (благоустрій, під'їзду 5,6) – заміна труби Ду32 – 3,5 м.п., заміна труби профільної 40х15 – 13,5 м.п. (кор.А) – ремонт штукатурки фасаду будинку – 0,5 кв.м. з використанням автовишки.   Ремонт штукатурки фасаду: (кор.Б) – 0,5 кв.м., (кор.А) – 2 кв.м. з використанням автовишки (Ілкомсвіт).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</si>
  <si>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(1 під.) – х/в ремонт ділянки лежака, труба Ду32 – 2 м.п., врізання до лежака Ду32 – 3 шт., заміна крану кульового Ду32 – 3 шт., труба Ду25 – 3,5 м.п.., врізання до лежака Ду25 – 4 шт., заміна крану кульового Ду25 – 4 шт., заміна труби Ду20 – 3 м.п., заміна крану кульового Ду20 – 4 шт., заміна труби Ду15 – 2,5 м.п., заміна крану кульового Ду15 – 4 шт.    (1 під.) – х/в ремонт ділянки лежака, ремонт труба Ду25 – 2 м.п., ремонт труби Ду15 – 0,5 м.п., врізання до стояка Ду25 – 1 шт., ремонт крану кульового Ду25 – 1 шт.   (2 під.) – х/в ремонт ділянки лежака, ремонт труба Ду32 – 0,5 м.п., Ду25 – 0,5 м.п., ремонт крану кульового Ду25 – 1 шт., Ду20 – 1 шт.; (3 під.) – х/в ремонт трубопроводу ділянки лежака, заміна труби Ду25 – 1,5 м.п., Ду15 – 2 м.п., заміна крану кульового Ду25 – 1 шт., Ду15 – 4 шт.   (2 під.) – х/в ремонт ділянки лежака, ремонт труба Ду20 – 0,5 м.п., Ду15 – 1,5 м.п., ремонт крану кульового Ду20 – 2 шт., Ду15 – 2 шт.  кв.126 – х/в ремонт ділянки стояка, ремонт ділянки труби Ду25 – 1,5 м.п., ремонт крану кульового Ду15 – 1 шт.  (3 під.) – х/в ділянки труби Ду32 – 1,5 м.п., Ду15 – 1 м.п., ремонт врізання Ду25 – 0,5 м.п., ремонт крану кульового Ду25 – 1 шт., Ду15 – 1 шт.  (2 під.) – х/в ремонт ділянки лежака, ремонт ділянки труби Ду32 – 0,5 м.п., ремонт врізання Ду15 – 0,5 м.п., ремонт крану кульового Ду15 – 1 шт.  (1 під.) – х/в ремонт ділянки лежака трубопроводу водопостачання Ду32 – 1,5 м.п., ремонт врізання Ду32 – 0,5 м.п., ремонт крану кульового Ду32 – 1 шт.  кв.3 – ц/о ремонт врізання до стояка, ремонт труби Ду20 – 0,5 м.п., ремонт врізання до стояка Ду20 – 1 шт., ремонт крану кульового Ду20 – 1 шт.  Ремонт та гідравлічне випробування системи ц/о: ремонт ділянки труби Ду57 – 3,5 м.п., Ду32 – 4 м.п., заміна засувок Ду50 - 1 шт., ремонт засувок Ду50 - 3 шт., ремонт вентилів Ду25 - 4 шт., Ду20 – 3 шт., Ду25 - 1 шт., Ду20 - 2 шт., заміна кульових кранів Ду15 - 3 шт., прочищення фільтрів – 2 шт.   (1 під.) – ремонт ділянки лежака каналізації, заміна труби ПХВДу110 – 1,5 м.п., муфта вставна Ду110 - 1 шт., муфта перехід ППРДу110 – 1 шт., заміна патрубок компенсаційний ППРДу110 – 1 шт.  (2 під.) – ремонт ділянки лежака каналізації ПХВДу110 – 1,5 м.п., ремонт муфта вставна Ду110 - 1 шт., ремонт коліно ППРДу110 – 1 шт., редукція ППРДу110 – 1 шт., ремонт трійник ППРДу110 - 1 шт., ремонт патрубок компенсаційний ППРДу110 - 1 шт.     (підвал, під'їзд 1) – ремонт ділянки лежака каналізації,  заміна труби ПХВ Ду110 – 1,5 м.п.,  заміна муфта перехід  ППР Ду110 - 1 шт.,  заміна  хрестовини ППР Ду110 – 1 шт.,  заміна коліно ППР Ду110 – 2 шт., ремонт  муфта компенсаційний ППР Ду110 - 1 шт.  (1 під.) – ремонт ділянки лежака каналізації ПХВДу110 – 1 м.п., ремонт перехід ППРДу110 – 1 шт. кв.21 – ремонт ділянки стояка каналізації, ремонт труби ПХВ Ду110 – 1 м.п., ремонт перехід ППР Ду110 – 1 шт.  (3 під.) – ремонт ділянки лежака каналізації ПХВДу110 – 1,5 м.п., ремонт муфта ППРДу110 – 1 шт., ремонт трійник ППРДу110 – 1 шт.  (4 під.) – ремонт ділянки лежака каналізації ПХВДу110 – 1,5 м.п., ремонт коліно ППРДу110 – 1 шт., ремонт муфта перехід ППРДу110 – 1 шт.  (2 під.) – ремонт ділянки лежака каналізації ПХВДу110 – 1 м.п., ремонт муфта ППРДу110 – 1 шт., ремонт трійника ППРДу110х50 – 1 шт.  кв.6 – ремонт ділянки стояка каналізації ПХВДу50 – 0,5 м.п., ремонт коліно ППРДу50 - 1 шт., ремонт перехід муфта ППРДу110х50 – 1 шт.  (2 під.) – ремонт ділянки лежака каналізації, ПХВДу110 – 0,5 м.п., ремонт трійника ППРДу110 – 1 шт., ремонт т муфта перехід ППРДу110 – 1 шт.  (3 під.) – ремонт ділянки лежака каналізації, ремонт муфта ППРДу110 – 1 шт., ремонт ділянки труби ПХВДу110 – 1,5 м.п., ремонт трійника ППРДу110 – 1 шт., ремонт коліно ППРДу110 - 1 шт. Фарбування (закрашення) написів – 1,5 кв.м. на фасадах будівель (наркотичних, інформаційних): (торець 4п.).   Фарбування (закрашення) написів на фасадах будівель – 8,5 кв.м. (наркотичних, інформаційних) – 1,5 кв.м. (торець 6п.),  1,5 кв.м. (торець 4п.).  Фарбування вуличних лавок внутрішньо дворових – 2 шт.  Фарбування вуличних лавок – 2 шт. внутрішньо дворових.   На дитячому майданчику ремонт гойдалки, заміна підшипників, ремонт ігрового комплексу, встановлення 3-х рейок, ремонт ігрових елементів, демонтаж старої пісочниці, улаштування покриття відсівом під ігровими елементами.  Спортивний майданчик, підготовчі роботи по відновленню покриття (демонтаж 2-х секцій металевої огорожі, (планування ґрунту вручну, прибирання ґрунту).  На спортивному майданчику ремонт мет. огорожі (6 секцій), електрозварювальні роботи. На спортивному майданчику ремонт та заміна мет. огорожі (секцій), електрозварювальні роботи.  На дитячому майданчику ремонт горки.  Фарбування (закрашення) написів на фасадах будівель (наркотичних, інформаційних) - 1,5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</si>
  <si>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(2 під.) – х/в ремонт ділянки лежака Ду25 – 0,5 м.п., ремонт врізання до стояка Ду25 – 1 шт., ремонт крану кульового Ду25 – 1 шт.  кв.166 – х/в ремонт врізання до стояка Ду15 – 0,5 м.п., врізання до стояка  Ду15 – 1 шт., ремонт крану кульового Ду15 – 1 шт.  (4 під.) – х/в ремонт ділянки лежака Ду50 – 2 м.п., ремонт труба Ду25 – 1 м.п., врізання до лежака  Ду25 – 1 шт., ремонт крану кульового Ду25 – 1 шт., заміна труби Ду15 –  0,5 м.п.,  з ремонт  крану кульового Ду15 – 1 шт.   (6 під.) – х/в ремонт ділянки лежака Ду25 – 2 м.п., ремонт труби Ду15 – 0,5 м.п., врізання до стояка Ду25 – 1 шт., ремонт крану кульового Ду25 – 1 шт.  Встановлення лічильників холодної води для поливу прибудинкових клумб (4 під., 6 під.) - 2 шт.  (2 під.) – х/в встановлення лічильників холодної води для поливу, труба Ду16 – 6 м.п., встановлення муфти МПЗР Ду16х1/2 – 2 шт., лічильника Ду15 – 1шт., комплекту до лічильника Ду15 – 1 шт., клапана зворотного Ду15 – 1 шт., фільтру Ду15 – 1 шт., хомута с дюбелем и шпилькою Ду15 – 2 шт., крану кульового Ду15 – 1 шт.   (підвал, під'їзд 5) – х/в ремонт ділянки лежака Ду25 – 1,5 м.п., Ду15 – 0,5 м.п., ремонт крану кульового Ду25 – 1 шт., Ду15 – 1 шт.  кв.4 – х/в ремонт ділянки стояка Ду25 – 0,5 м.п., Ду15 – 0,5 м.п., ремонт крану кульового Ду15 – 1 шт.  кв.225 – х/в ремонт ділянки стояка труби Ду32 – 1 м.п., ремонт крану кульового Ду15 – 1 шт.  кв.221 – х/в ремонт врізання до стояка Ду15 – 0,5 м.п., ремонт врізання до стояка Ду15 – 1 шт., ремонт крану кульового Ду15 – 1 шт.   кв.221 – х/в ремонт ділянки стояка Ду25 – 1,5 м.п., ремонт врізання Ду15 – 0,5 м.п., ремонт крану кульового Ду15 – 1 шт.   кв.2 – х/в ремонт ділянки труби Ду15 – 0,5 м.п., ремонт врізання Ду15 – 0,5 м.п., ремонт крану кульового Ду15 – 1 шт.  (4 під.) – х/в ремонт ділянки лежака водопостачання Ду76, заміна крану фланцевого Ду65 – 1 шт., ремонт врізання Ду25 – 0,5 м.п., ремонт крану кульового Ду25 – 1 шт.  (1 ел.) – ремонт та гідравлічне випробування системи ц/о: заміна ділянки труби Ду57 – 3,5 м.п., Ду32 – 2 м.п., заміна засувок Ду50 - 1 шт., ремонт засувок Ду50 -3 шт., ремонт вентилів Ду25 - 4 шт., Ду20 – 3 шт., заміна кульових кранів Ду25 - 1 шт., Ду20 -2 шт., Ду15 - 3 шт., прочищення фільтрів – 2 шт.  (2 ел.) – ремонт та гідравлічне випробування системи ц/о: заміна ділянки труби Ду32 – 3,5 м.п., Ду25 – 2 м.п., заміна засувок Ду50 - 1 шт., ремонт засувок Ду50 -2 шт., ремонт вентилів Ду25 - 1 шт., Ду20 – 1 шт., Ду25 - 2 шт., Ду20 - 3 шт., Ду15 - 2 шт., прочищення фільтрів – 2 шт.  (4 під.) – ремонт ділянки лежака каналізації., заміна труби ПХВДу110 – 1,5 м.п., муфта вставна Ду110 - 1 шт., заміна коліно ППРДу110 – 1 шт., муфта перехід ППРДу110 - 1шт., заміна трійника Ду110 -1 шт., редукція ППРДу110 – 1 шт., заміна патрубок компенсаційний ППРДу110 - 1 шт.  (5 під.) – ремонт ділянки лежака каналізації, заміна труби ПХВДу110 – 2 м.п., заміна муфта перехід  ППР Ду110 – 1 шт., заміна трійник ППРДу110 – 1 шт., заміна коліно ППРДу110 –1 шт., заміна муфта компенсаційний ППРДу110 – 1 шт.  (4 під.) – ремонт ділянки лежака каналізації, заміна труби ПХВ Ду110 – 1,5 м.п., заміна коліно  ППР Ду110 – 1 шт., заміна трійник ППР Ду110 – 1 шт., заміна хрестовина ППР Ду110 – 1 шт. (4 під.) – ремонт ділянки лежака каналізації, заміна труби ПХВДу110 – 1,5 м.п., заміна муфта Ду110 вставна з PPR HT – 2 шт., заміна манжет Ду110 х127 – 1 шт., заміна ревізія ППРДу110 – 1 шт., заміна патрубок компенсаційний ППРДу110 - 2 шт.  (4 під.) – ремонт ділянки лежака каналізації ПХВ Ду110 – 1 м.п., ремонт муфта ППРДу110 – 1 шт., ремонт трійника ППРДу110 – 1 шт.  Поточний ремонт покрівлі: кв.104,105 – 5 кв.м., кв.33, 68, 70 – промазування оголовків вентиляційних каналів та машинного приміщення. Фарбування (закрашення) написів – 2,5 кв.м. (торець 7п.), 1,5 кв.м. (торець 3,7п.).   Фарбування вуличних лавок – 11 шт.  на дитячому майданчику ремонт каруселі, заміна підшипників. На дитячому майданчику ремонт огорожі, гойдалки, електрозварювальні роботи, на дитячому майданчику улаштування відсівом (4,0 тони) покриття.  Фарбування (закрашення) написів на фасадах будівель (наркотичних, інформаційних) - 0,5 кв.м.  в РБД – ремонт демонтованої огорожі дитячого майданчика, електрозварювальні роботи.   Фарбування (закрашення) написів на фасадах будівель (наркотичних, інформаційних) - 0,2 кв.м.  На дитячому майданчику ремонт та заміна мет. огорожі – 4 шт. секцій (по 3 м.п.), електрозварювальні роботи.  На дитячому майданчику фарбування огорожі (встановленої секції – 1 шт., стойок – 6 шт.).  (5 під. та 6 під.) – виготовлення, фарбування та встановлення 2-х поручнів на ганку входу до під’їздів, труба Ду25 – 5,5 м.п., арматура – 2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</si>
  <si>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(4 під.) –  х/в ремонт ділянки труби Ду20 – 0,5 м.п., ремонт крану кульового Ду20 – 1 шт., врізання до стояка Ду20 – 1 шт.  (2 під.) – х/в ремонт ділянки лежака, заміна труба Ду20 – 0,5 м.п., заміна врізання до стояка Ду20 – 4 шт., заміна  крану кульового Ду20 – 4 шт.   кв.90 – х/в ремонт врізання до стояка, ремонт труба Ду15 – 1 м.п., врізання до стояка Ду15 – 1 шт., ремонт крану кульового Ду15 – 1 шт.    (6 під.) – х/в ремонт ділянки лежака Ду32 – 1 м.п., врізання до лежака Ду32 – 2 шт., заміна крану кульового Ду32 – 2 шт., труба Ду25 – 2,5 м.п., врізання до лежака Ду25 – 3 шт., заміна крану кульового Ду25 – 3 шт., заміна труби Ду20 – 2,5 м.п., Ду15 – 2 м.п., заміна крану кульового Ду20 – 3 шт., Ду15 – 4 шт.   кв.87 – х/в ремонт врізання до стояка, ремонт труба Ду15 – 0,5 м.п., врізання до стояка Ду15 – 1 шт., ремонт крану кульового Ду15 – 1 шт.  кв.62 – х/в ремонт врізання до стояка, ремонт труба Ду15 – 0,5 м.п., врізання до стояка  Ду15 – 1 шт., ремонт крану кульового Ду15 – 1 шт.   кв.16 – х/в ремонт врізання до стояка, ремонт труба Ду15 – 0,5 м.п., врізання до стояка Ду15 – 1 шт., ремонт крану кульового Ду15 – 1 шт.   Встановлення лічильників – 2 шт. холодної води для поливу прибудинкових клумб (2, 5 під.). (підвал, під'їзд 2) – х/в ремонт ділянки лежака, ремонт труба Ду25 –  0,5 м.п., Ду20 – 0,5 м.п., Ду15 – 1,5 м.п., ремонт крану кульового Ду20 – 2 шт., Ду15 – 2 шт.  кв.26 – х/в ремонт врізання до стояка, ремонт труба Ду15 – 0,5 м.п., ремонт врізання до стояка Ду15 – 1 шт., ремонт крану кульового Ду15 – 1 шт.  кв.16 – х/в ремонт врізання до стояка, ремонт ділянки труби Ду15 – 0,5 м.п., ремонт врізання до стояка Ду15 – 1 шт., ремонт крану кульового Ду15 – 1 шт.   (6 під.) – х/в ремонт ділянки лежака, ремонт ділянки труби Ду20 – 0,5 м.п., ремонт врізання Ду20 – 0,5 м.п., ремонт крану кульового Ду20 – 1 шт.   кв.61 – х/в ремонт ділянки труби Ду15 – 1 м.п., ремонт врізання Ду15 – 0,5 м.п., ремонт крану кульового Ду15 – 1 шт.  (3 під.) – х/в ремонт ділянки лежака водопостачання Ду25 – 1,5 м.п., ремонт врізання Ду25 – 0,5 м.п., ремонт крану кульового Ду25 – 1 шт.  Ремонт і підготовка до гідравлічного випробування системи ц/о: ремонт ділянки труби Ду57 – 0,5 м.п., Ду32 – 0,5 м.п., Ду20 – 3,5 м.п., ремонт засувок Ду50 - 3 шт., ремонт кранів Ду32 - 2 шт., ремонт вентилів Ду25 – 3 шт., Ду20 – 4 шт., заміна кульових кранів Ду20 - 1 шт., Ду15 - 1 шт., прочищення грязевиків – 2 шт.  (3 під.) – ремонт ділянки лежака каналізації, заміна труби ПХВДу110 – 2,5 м.п., муфта вставна Ду110 - 1 шт., заміна коліно ППРДу110 – 1 шт., муфта перехід ППР Ду110 – 1 шт., заміна трійника Ду110 - 1 шт., редукція ППРДу110 – 1 шт., заміна патрубок компенсаційний ППРДу110 - 1 шт.   (5 під.) – ремонт ділянки лежака каналізації ПХВДу110 – 1,5 м.п., ремонт муфта вставна Ду110 - 1 шт., ремонт коліно ППРДу110 – 1 шт., ремонт муфта перехід ППРДу110 – 1 шт., ремонт редукція ППРДу110 – 1 шт., ремонт патрубок компенсаційний ППРДу110 – 1 шт.  кв.32 – ремонт ділянки стояка каналізації ПХВДу110 – 0,5 м.п., ремонт ревізія Ду110 - 1 шт., ремонт коліно ППРДу110 – 3 шт., ремонт муфта перехід ППРДу110 – 1 шт., ремонт муфта компенсаційний ППРДу110 – 1 шт.  (3 під.) – ремонт ділянки лежака каналізації, заміна труби ПХВДу50 – 2 м.п.,  заміна коліно  ППРДу50 – 3 шт., заміна трійник ППРДу50 – 1 шт.  (3 під.) – ремонт ділянки лежака каналізації ПХВДу110 – 1,5 м.п., ремонт коліно ППРДу110 – 1 шт., ремонт муфта перехід ППРДу110 – 1 шт. Фарбування (закрашення) написів на фасадах будівель (наркотичних, інформаційних) – 1,5 кв.м. (торець 1п.).  Підрізування дерев, чагарників, кущів на прибудинкової території.  Зачистка від старої фарби, грязі лавок, підготовка до фарбування із застосуванням ручного інструменту. Фарбування вуличних лавок – 12 шт. внутрішньо дворових. Фарбування вуличних урн – 2 шт. внутрішньо дворових. Фарбування елементів внутрішньо дворових дитячих майданчиків – 1 шт.  Ремонт вуличних лавок – 1 шт. (рейок – 3 шт.).  Фарбування внутрішньо дворових сушарок для білизни та стойок – 4 шт. для вибивання килимів.  Фарбування (закрашення) написів на фасадах будівель (наркотичних, інформаційних) - 0,9 кв.м. (6 під.) – ремонт поручню в під’їзді, закріплення.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Заміна лічильника з ДТЄК в ВРЩ-0,4кВ на житловом будинку.     </t>
  </si>
  <si>
    <t xml:space="preserve">(1 під.) – х/в ремонт ділянки лежака, ремонт труби Ду15 – 0,5 м.п., врізання до стояка Ду15 – 1 шт., ремонт крану кульового Ду15 – 1 шт.  (6 під.) – х/в ремонт ділянки лежака, заміна труба Ду25 – 3,5 м.п., врізання до лежака Ду25 – 1 шт., заміна крану кульового Ду25 – 1 шт., Ду15 – 1 шт., ремонт труби Ду15 – 0,5 м.п. Ремонт і підготовка до гідравлічного випробування системи ц/о: заміна ділянки труби Ду57 – 1,5 м.п., Ду32 – 2,5 м.п., Ду20 – 3,5 м.п., заміна засувок Ду50 - 1 шт., ремонт засувок Ду50 - 3 шт., ремонт кранів Ду32 - 1 шт., ремонт вентилів Ду25 – 1 шт., Ду20 – 2 шт., заміна кульових кранів Ду20 - 3 шт., Ду15 - 4 шт., прочищення грязевиків – 2 шт.   Фарбування (закрашення) написів на фасадах будівель (наркотичних, інформаційних) – 2 кв.м. (торець 1п.), ремонт гойдалки в РБД, транспортування  та встановлення гойдалки на дитячому майданчику.  Фарбування вуличних лавок – 11 шт.  Фарбування вуличних урн – 5 шт. внутрішньо дворових.  Ремонт вуличних лавок – 4 шт. (рейок – 6 шт.).  Фарбування елементів внутрішньо дворових дитячих майданчиків  – 1 шт.  Фарбування дворових поручнів – 4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Встановлення розетки в елеваторному вузлу.  Заміна лічильника з ДТЄК в ВРЩ-0,4кВ на житловом будинку.    </t>
  </si>
  <si>
    <t xml:space="preserve">кв.55 – х/в ремонт ділянки стояка, ремонт врізання до стояка,, ремонт труба Ду15 – 0,5 м.п., врізання до стояка Ду15 – 1 шт., ремонт крану кульового Ду15 – 1 шт.  Встановлення лічильників – 1 шт. холодної води для поливу прибудинкових клумб.   кв.58 – х/в ремонт ділянки врізання, ремонт ділянки труби Ду15 – 0,5 м.п., ремонт врізання Ду15 – 0,5 м.п., ремонт крану кульового Ду15 – 1 шт.  кв.51 – х/в ремонт ділянки труби Ду15 – 1 м.п., ремонт врізання Ду15 – 0,5 м.п., ремонт крану кульового Ду15 – 1 шт.  Ремонт та гідравлічне випробування системи ц/о: заміна ділянки труби Ду76 – 2 м.п., Ду25 – 2,5 м.п., заміна засувок Ду80 - 2 шт., ремонт засувок Ду80 -1 шт., ремонт вентилів Ду25 - 2 шт., Ду20 – 4 шт., заміна кульових кранів Ду32 - 1 шт., Ду25 -2 шт., Ду20 - 2 шт., Ду15 - 5 шт., прочищення грязевиків – 2 шт. Ремонт ділянки лежака каналізації ПХВДу110 – 0,5 м.п., ремонт коліно ППР Ду110 – 1 шт., ремонт патрубок компенсаційний ППРДу110 - 1 шт., ремонт трійника ППРДу110 – 1 шт.  Ремонт вуличних лавок – 6 шт. (рейок – 15 шт.).  На дитячому майданчику ремонт каруселі, електрозварювальні роботи.  Встановлення лави для відпочинку (б/у), встановлення урни для сміття. (підвал) – ремонт ділянки лежака зливової каналізації, ремонт труби ПХВДу110 – 0,5 м.п., ремонт коліно ППРДу110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</si>
  <si>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кв.43 – заміна ввідного крану на трубопроводі холодного водопостачання Ду20 – 1 шт.  кв.11 – заміна врізки Ду15 – 1 шт., ввідного крану на квартиру Ду15 – 1 шт., з демонтажем та встановленням лічильнику (зварні роботи).   кв.108 – заміна ввідного крану Ду15 – 1 шт. на трубопроводі холодного водопостачання, демонтаж ділянки трубопроводу г/ в.  кв.113 – усунення протікання холодної води зі зняттям ввідного крану, нарізанням різьбового з’єднання та встановлення крану Ду15 – 1 шт.  (3 під.) – заміна крану Ду25 – 1 шт. на трубопроводі холодного водопостачання під кв.88. (3 під.) – ремонт трубопроводу г/ води з встановленням трійника Ду110/110/50 + шланг.  Демонтаж трубопроводу г/води в кв.88. Ремонт системи опалення. Заміна крану Ду20 – 1 шт. в елеваторному вузлі зі зварювальними роботами, профілактичне обслуговування кранів в підвалі – 8 шт., ревізія засувок – 2 шт. Гідравлічні випробування та пред’явлення фахівцям ЧТЕ.   (елеватор) – заміна крану фланцевого Ду80 – 1 шт., заміна кранів Ду15 – 2 шт., болти, гайки.  (2під.) – ремонт каналізаційного трубопроводу з встановленням муфти Ду110.   кв.39 – усунення протікання води з заміною сифону під ванною.  кв.23 – ремонт змивного бачку з заміною внутрішніх частин.  Поточний ремонт покрівлі: кв.141, 143 – 5 кв.м., 2 під.- вирубування рубероїдного килима навколо зливоприймальної воронки, заміна воронки, цементне стягування, ремонт покрівлі – 1 кв.м.   (2 під.) – встановлення навісного замку на двері входу в підвал.  (4 під.) – встановлення нових дверей в електрощитову.   Фарбування урн – 3 шт. на загально міських територіях.  Фарбування урн – 1 шт. на прибудинковій території. Фарбування лавок на прибудинковій території  Олександрійська 10, 12, Захисників України 13  – 29 шт. + 7 шт. (фарбування 2 рази, з зеленої в коричневу).  (2,4 під.) - фарбування поручнів при входах в під’їзди. (2,4 під.) - фарбування поручнів при входах в під’їзди Ремонт лав для відпочинку – 1 шт., встановлення рейок – 2 шт. на лавках. Фарбування всіх встановлених рейок. На спортивному майданчику ремонт мет. огорожі, електрозварювальні роботи.  Зафарбування написів наркотичного змісту на фасадах будинків - 0,8 кв.м.  (1 під.) – зафарбування наркотичних написів на фасаді будинку – 1 кв.м.  (2 під., з 9 поверху до підвалу) – герметизація трубопроводу дощової каналізації (після заміни) через міжповерхові перекриття.  На спортивному майданчику демонтаж зламаних елементів мет.огорожі.  (4 під., 1-8 поверхи) – закладання отворів плитах перекриття під’їзду після заміни трубопроводу дощової каналізації.  (4 під., 1-8 поверхи) – закладання отворів плитах перекриття під’їзду після заміни трубопроводу дощової каналізації.  (4 під.) – ремонт, штукатурка навколо нововстановлених дверей в електрощитову, фарбування.  (2 під.) – ремонт трубопроводу внутрішнього водостоку на тех. поверсі з частковою заміною труби Ду110/1000 – 1 шт., муфта 110, перехід гумовий Ду124/110.  (2 під.) – заміна трубопроводу внутрішнього водостоку з технічного до 6-го поверху, труба Ду110 – 12 м/п.   (2 під.) – заміна трубопроводу внутрішнього водостоку з даху будинку та з’єднання трубопроводу на тех. поверсі. Труба Ду100 – 1 м.п. ( метал + воронка), труба Ду110/1000 -1 шт., резиновий перехід Ду124/110.   (тех. поверх над кв.70) – ремонт трубопроводу зливної каналізації. Заміна ущільнюючих резинок.  (4 під.) - заміна трубопроводу зливної каналізації через перекриття з восьмого поверху до підвалу. Пробиття перекриття – 8 шт., труба Ду110/2000 – 10 шт., Ду110/1000, коліно Ду110/45, компенсатор, хомути, герметик, диск відрізний – 3 шт.  (2під. над кв.70) – ремонт трубопроводу внутрішнього водостоку з заміною труби Ду110/1000, перехід Ду110/124 – 2 шт. з пробиванням стіни для виконання ухили трубопроводу.  Заміна світильника ОСК у 4п.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</si>
  <si>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"Поточний ремонт, заміна вікон в нежитловому приміщенні, пошкодженого внаслідок збройної агресії Російської Федерації за адресою: м. Чорноморськ, вул. Захисників України, 17-В"(ДЮК) – 9 шт. великих, 10 шт. маленьких на висоті. (37 754,87 грн.). (Бюджет).</t>
  </si>
  <si>
    <t xml:space="preserve">кв.64 – усунення течі. Заміна шлангів на кухні. кв.55 – заміна ввідного крану на трубопроводі холодного водопостачання Ду20 – 1 шт. кв.26 – заміна ділянки трубопроводу центрального опалення Ду20 - 0,5 м.п.  ДЮК – демонтаж прибору обліку центрального опалення на ДЮК, здання на повірку. ремонт системи опалення. Заміна кранів в другому елеваторі Ду15 – 2 шт., по підвалу заміна кранів на стояках Ду25 – 2 шт., засувок Ду80 – 2 шт., профілактичне обслуговування кранів по підвалу – 18 шт., гідравлічні випробування та пред’явлення представникам ЧТЕ.  (ДЮК) –  встановлення, підключення та опломбування теплового лічильнику на приміщення пункту Незламності, ремонт та гідравлічні іспити системи опалення на ДЮК.  кв.53 – усунення протікання холодної води з зливного бачку, заміна клапану.  (3під.) – ремонт каналізаційного трубопроводу з встановленням бандажу. (5 під.) – ремонт зливного бачку до унітазу в укритті.  Поточний ремонт покрівлі: кв.141, 142 – 8 кв.м., кв.33 – 5 кв.м., кв.71, 72 – 2 кв.м.  кв.108, 179, 33, 105, 141, 142 – 15 кв.м.,  кв.108, 142 – 7 кв.м. Фарбування лавок на прибудинковій території  – 5 шт.  Фарбування урн на прибудинкових територіях  – 3 шт. Фарбування лав на прибудинкових територіях – 2 шт. Фарбування лавок - 5 шт., поручні до дверей в під – 3 шт.  Фарбування дитячого майданчику та елементів спортивного знаряддя.  На дитячому майданчику ремонт каруселі, виготовлення та встановлення нового днища (OSB).  кв.38, 39 – ремонт фасаду - 3 кв.м. (утеплення стін), пошкоджених при атаки БПЛа, поклейка  пінопласту, штукатурка – 2 кв.м.  (4п.) – облаштування бетонного валику між вимощення та цоколем – 25 м.п.  (2 під.) – закріплення трубопроводу зливної каналізації на тех. поверсі. Хомут 110 – 6 шт., шпилька Д8 – 5 шт., перехід Ду110/124, Ду124/110 – 2 шт., герметик.    Демонтаж дроту з фасаду будівлі.  ТО обслуговування ВРЩ-0,4кВ заміна ПН 100А – 2 шт.; вимір напруги; розподіл навантаження; ізоляція дротів; ТО в поверхових щитках заміна до облікових автоматів 16А - 3 шт.; підтискання болтових з'єднань; вимір напруги; розподіл навантаження; ізоляція дротів.   (ДЮК) – заміна ламп в Пункті Незламності – 3 шт.     </t>
  </si>
  <si>
    <t xml:space="preserve">кв.61/підпілля - заміна пошкодженого трубопроводу х/води Ду25 - 5,0 м.п., коліно Ду25х90 - 4 шт., муфта Ду25 – 2 шт., футорка 1*-3/4*- 1 шт., перехід Ду32х25 – 1 шт., перехід Ду25х1/2 – 1 шт., перехід Ду32х1*- 1 шт., гебомуфта 1*х32 - 1 шт.  Встановлення ремкомплектів на трубопроводах г/води: (2 під.) Ду25 – 1 шт.  (2 під.) - заміна трубопроводу опалення Ду20 - 1,0 м.п., кран Ду20 – 1 шт.   Ремонт засувок на системі опалення, набивка сальників Ду50-2шт.   Ремонт засувок ц/о, набивка сальників Ду80 – 2 шт.  Ремонт та гідравлічне випробування системи опалення: ремонт засувок Ду50 - 4 шт., ремонт кранів Ду20 - 22 шт., Ду15 - 4 шт.  Встановлення на «збросниках» опалення кранів кульових (2 під.) Ду15 – 2 шт.  (1 під.) - заміна часткова трубопроводу водовідведення Ду110 - 0,5 м.п., коліно Ду110х45 - 1 шт., перехід Ду124/110-1 шт.   (1під.) - заміна пошкодженого трубопроводу каналізації Ду110 - 1,5 м.п.  кв.1 –заміна трубопроводу водовідведення Ду110 - 1,0 м.п., трійник Ду110/50х45 - 1 шт.   (3 під.) - заміна пошкодженого трубопроводу каналізації Ду110 - 1,5 м.п.  Встановлення заглушок на трубопроводах каналізації 4п. Ду110 - 1 шт.  кв.33 - заміна пошкодженого трубопроводу водовідведення Ду110 - 2,5 м.п., перехід Ду124/110 – 1 шт , компенсатор Ду110 -1 шт., муфта вставна Ду110/110 - 1 шт.  (4під.) - заміна пошкодженого трубопроводу каналізації Ду110 - 1,0 м.п., трійник Ду110/110х45 - 1 шт., перехід Ду124/110 - 1 шт. Ремонт ігрового комплексу на дитячому майданчику, встановлення дер. рейок, ремонт підлоги.    Фарбування лавок місто прибудинкові – 5 шт.  Ремонт лавок на прибудинкових територіях – 3 лавки (3 рейки). Фарбування урн (прибудинкові) – 2 шт. Фарбування елементів на дитячому майданчику. Фарбування майданчиків для білизни – 2 шт.( 4 стійки). Зафарбовування написів на фасадах будинків - 3,0 кв.м., на дитячому майданчику ремонт дитячого ігрового комплексу.  (2п.) – ремонт поручнів 2пов. ( ел. зварювання), (4п.) 4поверх – виготовлення та встановлення решітки (квадрат -12м.п.).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</si>
  <si>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кв.97 - заміна крану кульового х/води Ду15 – 1 шт., врізання до стояка.    (5під.) - заміна трубопроводу водопостачання Ду25 - 1,0 м.п.   (5під.) - заміна пошкодженого трубопроводу х/води Ду25 - 1,0 м.п., кран кульовий Ду25 - 1 шт.   кв.2/підпілля - заміна пошкодженого трубопроводу х/води Ду25 - 2,0 м.п. через перекриття, кран кульовий Ду25 - 1 шт.  (5 під.) – монтаж поливального трубопроводу труба МТП 16х2мм - 6,0 м.п., кран кульовий Ду15 - 2 шт., муфта 16х1/2*-2 шт., коліно ½*- 2 шт., лічильник – 1 шт.   (2 під.) - заміна пошкодженого трубопроводу водопостачання Ду40 - 2,0 м.п., кран кульовий Ду32 - 1 шт. Встановлення ремкомплектів на трубопроводи х/води: (1 під.) Ду25 - 1 шт. Встановлення ремкомплектів на трубопроводах г/води (3п. Ду50 - 1 шт.). Ремонт та гідравлічне випробування системи опалення: ремонт засувок Ду50 - 6 шт., ремонт кранів Ду20 - 18 шт., Ду15 - 4 шт.   Заміна «заглушок» Ду15 на «збросниках» стояків опалення в підпіллях (3 під.) - 1 шт., кв.3/підпілля - заміна пошкодженого трубопроводу опалення ППРДу25 – 3 м.п., кран кульовий Ду20 - 2 шт. кв.73 - заміна частки трубопроводу водовідведення Ду110 - 0,5 м.п., трійник Ду110/50х45 – 1 шт.  кв.2 - заміна пошкодженого трубопроводу каналізації Ду100 - 1,0 м.п.  Встановлення «глушок» Ду110 - 2 шт. на каналізаційний трубопровід (5п.). (6п.) - ремонт дверей входу в підпілля з установкою замка - 1 шт. /ел.звар./.  Фарбування лавок місто прибудинкові – 4 шт. Фарбування урн прибудинкові – 3 шт.  Зафарбовування написів на фасадах будинків - 2,0 кв.м. (1 під.) – ремонт металевої огорожі квітників, електрозварювальні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</si>
  <si>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Поточний ремонт, заміна безтраншейним способом випуску госпфекальної каналізації за адресою: м. Чорноморськ, проспект Миру 29 (2 підїзд) Ду110 – 12 м.п. (44 555,42 грн.).  </t>
  </si>
  <si>
    <t xml:space="preserve">(3 під.) - заміна пошкодженого трубопроводу водопостачання Ду25 - 2,0 м.п, кран кульовий Ду25 - 1 шт.   кв.31 - заміна пошкодженого трубопроводу водопостачання Ду25 - 1,5 м.п.  кв.19 - заміна пошкодженого трубопроводу водопостачання Ду25 - 1,5 м.п. Встановлення ремкомплектів на трубопроводах г/води: (1під.) Ду32 - 1 шт., ( 4 під.) Ду32 – 1 шт., (2 під.) Ду50 - 1 шт. Набивка сальників на засувках опалення: Ду80 – 2 шт. Ремонт та гідравлічне випробування системи опалення: ремонт засувок Ду100 - 4 шт., ремонт кранів Ду20 - 12 шт., Ду15 - 4 шт. ремонт та гідравлічне випробування системи опалення: ремонт засувок Ду40 – 4 шт., Ду100 - 2 шт., ремонт кранів Ду20 - 12 шт., Ду15 - 4 шт., заміна «заглушок» на збросниках стояків Ду15 - 4 шт., Ду20 – 1 шт., заміна кранів кульових Ду15 - 1 шт., Ду20 - 2 шт. кв.33 - заміна пошкодженого трубопроводу опалення Ду20 - 1,0 м.п., кран кульовий Ду20 - 1 шт. кв.64 - встановлення крана «Маєвського» -1 шт. на приборі опалення.   кв.21 - заміна пошкодженого трубопроводу опалення Ду20 - 1,0 м.п., різьба коротка Ду20 - 2 шт.  Ремонт засувок на системі опалення, набивка сальників Ду80 - 1 шт. Встановлення заглушек на трубопроводу водовідведення Ду110 (3під.) – 2 шт.   (4 під.) -заміна пошкодженого трубопроводу водовідведення Ду110 - 1,5 м.п., перехід Ду110/124 - 1 шт., муфта Ду110 - 1 шт.  Встановлення каналізаційних заглушок (3 під.) Ду110 – 1 шт.  кв.18/19 - заміна пошкодженого трубопроводу водовідведення Ду110 - 3,0 м.п., компенсатор Ду110 – 1 шт., перехід Ду110/90 – 1 шт., трійник Ду110/50х90 – 1 шт., перехід Ду124/110 - 1 шт.  (4 під.) - заміна пошкодженого трубопроводу водовідведення Ду110 - 1,0 м.п., трійник Ду110/45 - 1 шт.  (1 під.) - заміна кодового замку на вхідній двері до під’їзду - 1 шт. /ел. зварювання/.  Фарбування лав для відпочинку – 8 шт.  Фарбування урн місто – 2 шт. Фарбування урн прибудинкові – 1 шт. (4 під.) - демонтаж старої металоконструкції /ел. зварювання/.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</si>
  <si>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кв. 68 - заміна ввідного крану Ду15 - 1 шт.  кв.31 – заміна крану на трубопроводі холодного водопостачання Ду25 – 1 шт.  кв.201-208 – заміна ділянки трубопроводу холодного водопостачання через перекриття, труба Ду25 – 1,5 м.п.  (1 під.) - встановлення унітазу, мийки та бойлеру. Матеріали: лічильник води, зворотний клапан. Фільтр, кут металевий Ду15, МНР 20 – 4 шт., кут Ду20х45 – 2 шт., кут Ду20х90 – 4 шт., трійник Ду20 – 1 шт., кран Ду15 – 2 шт., подовжувач - 0,8 м.п., труба ПН20 – 10 м/п, муфта Ду20 – 2 шт., умивальник, стойка, кріплення, заглушка Ду15, змішувач для води,  перехід Ду30х20, кран Ду15 – 3 шт., кріплення 20 - 10 шт., змішувач для душу, бойлер 50л, трійник Ду20х90 – 3 шт., кут Ду20х90 – 15 шт., обвід Ду20 – 1 шт., настінний комплект баєчний, кран американка – 2 шт., МРН – 1 шт., МРВ – 2 шт., труба Ду20 – 10 м.п. Ремонт та гідравлічні випробування системи опалення та пред’явлення представникам ЧТЕ. Ремонт засувок – 1 шт., ревізія кранів на тех. поверсі – 18 шт. кв.25 - демонтаж прибору опалення. Встановлення нової батареї.  кв.153 – заміна ділянки каналізаційного трубопроводу через перекриття, труба Ду110/2000 – 1 шт., Ду110/1000 – 1 шт., компенсаційний патрубок Ду110, трійник Ду110/110/45, трійник Ду110/110/50, муфта вставна Ду110, перехід Ду110/124, перехід гумовий Ду124/110.   кв.154-158 - ремонт трубопроводу водовідведення  з заміною гофри та закріпленням унітазу.  (2під.) – ремонт трубопроводу водовідведення з заміною каналізаційного коліна Ду110/45 – 1 шт.    кв.74 - ремонт каналізаційного трубопроводу з встановленням бандажу.   кв.241 – ремонт трубопроводу водовідведення з встановленням бандажу.   кв.236 – ремонт каналізаційного трубопроводу з встановленням бандажу.   (1 під.) – ремонт каналізаційного трубопроводу в підвалі з заміною  резинового переходу, укріплення канал труби.   кв.200 – заміна ділянки каналізаційного трубопроводу Ду110/1000 – 2 шт., трійник Ду110/110/90, перехід Ду110/50, трійник Ду110/50/45.   (1 під.) - встановлення унітазу, мийки та бойлеру. Матеріали: унітаз в комплекті, сифон на умивальник, резинка Ду50, сифон на піддон, кут Ду50х45 – 1 шт., компенсатор Ду50 – 1 шт., муфта Ду50 – 1 шт. (укриття) – заміна унітазу (вандалізм). Ремонт дверей входу до Укритій, електрозварювальні роботи. На дитячому майданчику демонтаж каруселі для ремонту в РБД (заміна підшипників),  встановлення каруселі після ремонту та фарбування в РБД. Фарбування урн – 3 шт. на загально міських територіях.  Фарбування лавок на прибудинковій території  – 6 шт.   Фарбування лавок на загально міських територіях – 4 шт.  Фарбування на прибудинкових територіях:  фарбування елементів дитячого майданчику (паровоз, качелі – 2 шт., карусель). дитячий майданчик – ремонт гойдалки (зварювальні роботи).  На дитячому майданчику ремонт гойдалки, заміна підшипників. Ремонт огорожі 2-х секцій дитячого майданчику, електрозварювальні роботи.  (2 під.) – в машинному відділенні закладання отвору - 0,5 кв.м. Аварійні роботи: ТО обслуговування ВРЩ-0,4кВ; заміна тримачів ПН-100А – 1 шт., заміна ПН-100А – 1 шт.; вимір напруги; розподіл навантаження; ізоляція дротів;   ТО обслуговування ВРЩ-0,4кВ вимір напруги; розподіл навантаження; ізоляція дротів; Закріплення світильнику в укритті – 1 шт.  Монтаж освітлення та розеток у напівпідвальному приміщенні.  Монтаж освітлення та розеток у полупідвальному приміщенні, що примикає до ВРЩ.</t>
  </si>
  <si>
    <t xml:space="preserve"> Зняття глушок  та встановлення лічильників обліку води та їх опломбування з представниками ЧВК.  кв.1 – прочищення трубопроводу холодного водопостачання з демонтажем крану та наступним встановленням. кв.50 – заміна ввідного крану на трубопроводі холодного водопостачання Ду20 – 1 шт. кв.50 - демонтаж ділянки п/сушарки та  встановлення  заглушок.   підвал під кв №1 – заміна кранів на трубопроводі центрального опалення  Ду15 - 2 шт. зі зварювальними роботами. Ремонт та гідравлічні випробування системи опалення, пред’явлення представникам ЧТЕ. Фарбування лавок – 16 шт. + стіл. (1 під.) – виготовлення, фарбування та встановлення 2-х поручнів на ганку входу до під’їзду, труба Ду25 – 6 м.п., арматура Д10 – 2 м.п. (1 під., 1-2 поверх) – заміна ділянки трубопроводу зливної каналізації. Труба сталева Ду76 - 3,5 м/п, 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</si>
  <si>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кв.91 – заміна ділянки трубопроводу холодної води Ду20 – 0,5 м.п. з встановленням ввідного крану Ду20 – 1 шт.  кв.29 – заміна ділянки трубопроводу холодного водопостачання Ду20 – 0,5 м.п.  з заміною крану Ду15 – 1 шт.   кв.55 – усунення протікання холодної води з заміною крану Ду20 – 1 шт.   кв.108 – заміна ділянки трубопроводу холодного водопостачання Ду32 – 2 м.п.  кв.119 – заміна крану на трубопроводі холодного водопостачання Ду20 – 1 шт.  кв.69,70 – заміна ділянки трубопроводу холодного водопостачання з заміною ввідних кранів Ду20 – 2 шт., труба Ду20 – 0,5 м.п.  (1,3,5 під.) - зняття заглушок на трубопроводі холодного водопостачання, встановлення лічильників обліку води та їх опломбування фахівцями ЧВК.  кв.166 - заміна ввідного крану Ду15 – 1 шт. на трубопроводі холодного водопостачання.   кв.173 – ремонт трубопроводу холодного водопостачання з частковою заміною труби Ду20 - 1,5 м.п., кран Ду15 – 1 шт., демонтаж та монтаж лічильнику.   кв.212 - заміна ввідного крану на трубопроводі холодного водопостачання Ду20 – 1 шт.   кв 99  - встановлення глушок на трубопроводі холодного водопостачання в кухні та ванній кімнаті та опломбування представниками ЧВК. кв 14 – ремонт трубопроводу холодного водопостачання з нарізанням різьби та встановленням крану Ду20 - 1 шт.  кв.173 – заміна ввідного крану х/в на квартиру Ду15 – 1 шт., з демонтажем та встановленням лічильнику.  кв.172 – заміна крану на трубопроводі холодного водопостачання Ду20 – 1 шт.   кв.63 – заміна ввідного крану на трубопроводі холодного водопостачання Ду20 – 1 шт.  кв.204 – заміна ввідного крану на трубопроводі холодного водопостачання Ду20 – 1 шт. (5 під., 2 елеватор) – демонтаж шайби, встановленої на трубопроводі центрального опалення, збільшення розміру з 12 мм на 14 мм та наступне встановлення, заміна крану фланцевого Ду50 – 1 шт. в елеваторному вузлу на трубопроводі ц/о.  (2-3 елеватор) – налагодження роботи електричних насосів в елеваторному вузлу по рекомендації фахівця КІП.  (підвал під кв.147) – заміна крану Ду20 – 1 шт. на трубопроводі системи опалення (топила юстицію).   (1-2 елеваторні вузли) - ремонт системи опалення. Ремонт засувок – 6 шт., профілактичне обслуговування кранів по підвалу – 18 шт., гідравлічні випробування та пред’явлення представникам ЧТЕ.  (6 під., приміщення реабілітації ветеранів - заміна ділянки стояку центрального опалення з першого поверху до підвалу: труба Ду32 - 4 м.п., , труба Ду25 - 1 м.п., трійник Ду32/25 - 2 шт., кран американка Ду20 - 2 шт., футорка  Ду20на ¾ - 2 шт., відвід Ду3/4на 25 - 2 шт., муфта Ду32 - 1 шт., перехід американка Ду25 на Ду32, трійник Ду32/20, муфта Ду20 на ½. кв.56 – усунення протікання холодної води з заміною шлангів до змивного бачку.   кв.65,69,тех. поверх – заміна ділянки каналізаційного стояку, труба Ду110/2000 – 2 шт., Ду110/1000 – 1 шт., Ду110/250 – 1 шт., муфта вставна Ду110, хрестовина Ду110/110/45, перехід Ду110/124, перехід Ду124/110, відвід Ду110/45 – 2 шт., перехід Ду110/50, кріплення.   кв.107 - ремонт кухонного каналізаційного трубопроводу, після прочищення, заміна трійника Ду110/110/90, герметизація стиків.   кв.166 - ремонт каналізаційного трубопроводу з частковою заміною фасонних частин.  (2,3 під.) – заміна каналізаційних випусків Ду110 – 22 м.п. (підрядник).  кв.166 – ремонт зливного бачка. Заміна шлангу.  Поточний ремонт покрівлі: кв.241 – 5 кв.м.  (6під.) – встановлення навісного замку на двері входу в підвал. (5 під.) – встановлення замку на двері входу до підвалу.  (3 під.) – на дитячому майданчику ремонт каруселі (підшипники).  4 кв.м. - фарбування  написів сумнівного значення  на фасадних стінах.  (1 під.) – демонтаж металевих конструкцій.  Благоустрій прибудинкової території: підрізка зелених насаджень, вирізання порослі, прибирання.  Очищення, підготовка лав до фарбування.  Фарбування урн – 2 шт. на загально міських територіях.  Фарбування лав – 6 шт. на прибудинковій території.   Фарбування лавок на прибудинковій території – 8 шт. Фарбування лавок на загально міських територіях –  9 шт.   Фарбування лавок на загально міських територіях – 1 шт. Фарбування урн на загально міських територіях – 3 шт.  Фарбування огорожі дитячого майданчику. Фарбування лав на прибудинкових територіях – 8 шт.   фарбування елементів дитячого майданчику(з вулиці ), та його огорожі на загально міських територіях.     Фарбування на прибудинкових територіях:  фарбування елементів дитячого майданчику та огорожі.   Ремонт лав  - 1 шт. (рейок – 1 шт.), (з вулиці) – ремонт гойдалки (зварювальні роботи).  (6 під.) – демонтаж паркану, ел. зварювальні роботи.  (3 під.) – на дитячому майданчику ремонт ігрового комплексу, заміна дерев'яних рейок – 2 шт.,  ремонт гойдалки, заміна підшипників.  (3 під.) – на дитячому майданчику: ремонт горки - закріплення огорожі, ремонт ігрового комплексу - заміна дер.рейки, ремонт гойдалки – заміна дер.рейки.  (центр) - на дитячому майданчику ремонт гойдалки, електрозварювальні роботи. 2 кв.м.- фарбування фасадів будинків з ціллю знищення надписів наркотичного змісту. (5 під., 9 поверх) – ремонт штукатурки стелі в під’їзді – 3 кв.м.; (5п.) – у місці виходу внутрішнього водостоку відновлення бетонного блоку. (5під.) – ремонт трубопроводу внутрішнього водостоку біля машинного приміщення з встановленням бандажу.  над кв.105 - ремонт трубопроводу внутрішнього водостоку з встановленням бандажу. (3 під., 9 поверх) – ремонт трубопроводу зливної каналізації з закріпленням, труба Ду110/250, кріплення – 2 шт. ТО обслуговування ВРЩ-0,4кВ заміна наконечника д120 - 1 шт. на ввідному кабелі;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Відновлення освітлення елеваторних вузлів. </t>
  </si>
  <si>
    <t xml:space="preserve">Ремонт трубопроводу холодного водопостачання з встановленням ремкомплекту Ду76. кв.105 – встановлення глушки на стояку холодного водопостачання по припису ЧВК Ду25.  Заміна крану на трубопроводі холодного водопостачання під квартирою № 37 Ду25 – 1 шт., заміна ділянки трубопроводу холодного водопостачання Ду25 – 2 м.п., встановлення ввідного крану Ду20 – 1 шт.   4 під. – облаштування трубопроводу холодного водопостачання для поливу клумб. Лічильник Ду15, фільтр осадовий, приєднувальний клапан , кран Ду15 - 2 шт., труба Ду16 – 9 м.п.  кв.75 – заміна відсічного крану водопостачання на квартиру Ду15 – 1 шт., з демонтажем та встановленням лічильнику.  кв.140 - усунення течі, нарізання різьби на трубопроводі водопостачання та встановлення лічильника та вентиля Ду15 – 1 шт.  кв.33 - заміна ввідного крану на трубопроводі холодного водопостачання Ду20 – 1 шт.  Ремонт та гідравлічні випробування системи опалення, пред’явлення фахівцям ЧТЕ, два елеватори. Ремонт засувок – 3 шт., ремонт кранів на стояках центрального опалення – 8 шт., закріплення ізоляції  - 2 м.п., прочищення гнізд для манометрів та термометрів в елеваторних вузлах. кв.143,139 – усунення протікання води з батареї, заміна кранів Ду20 – 2 шт. кв.57,53 - усунення протікання води з трубопроводу центрального опалення після заповнення систем, ремонт кранів перед радіатором. кв.132 – ремонт трубопроводу центрального опалення з нарізанням різьбового з єднання до радіатору. кв.104 – встановлення крану Маєвського на радіаторі.  кв.41,37 – заміна ділянки каналізаційного стояку через перекриття, труба Ду110/2000 – 1 шт., трійник, коліно Ду110/45 – 2 шт., перехідний патрубок, муфта компенсаційна.  (2 під., під кв.44) – заміна муфти Ду110 на каналізаційному трубопроводі.  кв.127 – ремонт каналізаційного трубопроводу з встановленням бандажу. Поточний ремонт покрівлі: кв.143 – вирубка руберойдового покриття, цементне стягування – 1 кв.м., кв.143 – 2 кв.м., (4 під.) – 2 кв.м.; (2 під.) – 1 кв.м.  (4 під.) – поточний ремонт козирку над входом до під’їзду, ремонт фасаду. Обрізання гілок дерев та кущів за будинком.  6 кв.м. - фарбування  написів сумнівного значення  на фасадних стінах.  Фарбування елементів дитячого майданчику (гірка, качелі, карусель), фарбування майданчику для сушки білизни (12 стовпів та 9 перекладень).  На дитячому майданчику ремонт лави, заміна дер.рейки. 1,5 кв.м. - фарбування фасадів будинків з ціллю знищення надписів наркотичного змісту. ТО обслуговування ВРЩ-0,4кВ: заміна рубильника 400А – 1 шт., тримачі ПН 250А - 1 шт., 100А – 1 шт.; вимір напруги; розподіл навантаження; ізоляція дротів; ТО обслуговування ВРЩ-0,4кВ вимір напруги; розподіл навантаження; ізоляція дротів;  Усунення  наслідків аварій що виниклі внаслідок стабілізаційних відключень електроенергії по місту: ТО обслуговування ВРЩ-0,4кВ; заміна тримачів ПН 250А – 1 шт., заміна ПН-100А-250А - 2 шт.; </t>
  </si>
  <si>
    <t xml:space="preserve">"Поточний ремонт, заміна випусків госпфекальної каналізації за адресою: м. Чорноморськ, вул. Парусна, 16 (4, 6 під'їзди) Ду110 - 10 м.п. (36 114,36 грн.). </t>
  </si>
  <si>
    <t xml:space="preserve">кв.75 – заміна ввідного крану на трубопроводі холодного водопостачання Ду20 – 1 шт. кв.129,125 – усунення протікання холодної води, ремонт крану в кв.129. кв.177 – заміна ввідного крану Ду15 – 1 шт. з демонтажем та наступним встановленням лічильнику  на трубопроводі холодного водопостачання. кв.72 – прочищення трубопроводу холодного водопостачання з демонтажем крану та лічильнику та наступне їх встановлення. кв.210 - заміна ділянки трубопроводу холодного водопостачання, труба Ду25 -1,5 м.п.  кв.102 – заміна ввідного крану на трубопроводі холодного водопостачання Ду20 – 1 шт. (6 під.) - зняття заглушок на трубопроводі холодного водопостачання, встановлення лічильників обліку води та їх опломбування фахівцями ЧВК. кв.75 – усунення протікання холодної води до бойлеру, заміна шлангів. кв.118,119 - заміна ділянки трубопроводу холодного водопостачання Ду20 – 2 м.п., демонтаж та наступне встановлення крану та лічильнику. кв.52 – заміна ділянки трубопроводу холодного водопостачання Ду20 – 0,5 м.п. (3 під.) – демонтаж заглушок та встановлення лічильників обліку води для полива та їх опломбування з представниками ЧВК.  кв.33 – заміна ввідного крану Ду15 – 1 шт. на трубопроводі холодного водопостачання. Ремонт системи опалення першого та другого елеваторних вузлів. Ремонт засувок – 4 шт., ревізія кранів – 5 шт., прочищення гнізд під термометри та манометри, заміна крану в елеваторі на трубопроводі х/в Ду15 – 1 шт., гідравлічні випробування та пред’явлення фахівцям ЧТЕ.  (3 елеватор) - ремонт системи опалення. Ремонт засувок – 4 шт., ревізія кранів – 5 шт., прочищення гнізд під термометри та манометри, заміна крану в елеваторі на трубопроводі х/в Ду15 – 1 шт., гідравлічні випробування та пред’явлення фахівцям ЧТЕ. 6 під. – заміна ділянки трубопроводу центрального опалення Ду89 - 1,5 м.п. кв.12 – заміна трубопроводу центрального опалення Ду25 - 0,5 м.п., заміна прибору опалення. Заміна крану Ду20 – 1 шт. на стояку опалення.  кв.195 – заміна ділянки трубопроводу опалення, труба Ду20 – 1 м.п. кв.12 – заміна крану на трубопроводі центрального опалення в ванній кімнаті Ду15 – 2 шт. (6під.) – прочищення каналізаційного трубопроводу по підвалу, (7 під.) – заміна ділянки каналізаційного трубопроводу, труба Ду110/1000 – 1 шт., Ду110/500 – 1 шт., коліно Ду110/45 – 1 шт., перехід Ду124/110, хомут, кріплення. (3під.) – заміна ділянки каналізаційного трубопроводу, труба Ду110/2000 – 2 шт., Ду110/1000 – 1 шт., коліно Ду110/45 – 2 шт., муфта Ду110 – 1 шт., перехід Ду110/124, перехід Ду124/110, кріплення.  6 під.- заміна часткова каналізаційного трубопроводу від випуску, труба 110/250 - 6 шт.  5 під. – демонтаж чавунного каналізаційного трубопроводу по підвалу. Встановлення труби Ду110/2000 – 5 шт., Ду110/1500 – 1 шт., трійник Ду110/110/110/90 – 1 шт., відвід Ду110 – 3 шт., глушка Ду110 – 1 шт., муфта Ду110 – 1 шт.  кв.152,156,198 – заміна ділянки каналізаційного трубопроводу через перекриття з демонтажем унітазів в кв.156,198 та наступним встановленням. Труба Ду110/2000 – 1 шт., Ду110/1500 – 1 шт., Ду110/500 – 1 шт., муфта вставна Ду110, компенсатор, коліно Ду110/45 – 2 шт., хрестовина Ду110/110/110/90 – 1 шт.  кв.48,44 – заміна ділянки каналізаційного стояку через перекриття зі зняттям унітазу та наступним встановленням. Труба Ду110/2000 – 1 шт., Ду110/1000 – 1 шт., трійник Ду110/110/45, муфта вставна, муфта Ду110, компенсатор, кріплення, труба до унітазу, трійник Ду110/50, кріплення до унітазу, труба Ду50/1000 – 1 шт., Ду50/2000 – 1 шт.  Поточний ремонт покрівлі: кв.139 – 2 кв.м., (6 під.) – коз. – 15 кв.м., (3 під.) – 2 кв.м., заміна водоприймальної воронки.  (6 під.) – ремонт під’їзду (першій поверх).  (4 під.) – ремонт дверей входу в під’їзд полоса 40 – 1 м.п., проф.труба 40х20 – 1 м.п., електрозварювальні роботи. (4під.,1 поверх) – встановлення замку на груповий електричний щит.  8 кв.м. - фарбування  написів сумнівного значення  на фасадних стінах.  (3 під.) – демонтаж ділянки огорожі, пошкодженої машинами мешканців. (1 під.) – демонтаж огорожі. (7під.) – демонтаж урни, та металевих конструкцій. Благоустрій прибудинкової території: підрізка зелених насаджень, вирізання порослі, прибирання.  Фарбування урн – 5 шт. на загально міських територіях.   Фарбування лав – 14 шт. на прибудинковій території.   Фарбування столу – 2 шт.  Фарбування елементів дитячого майданчику, карусель, качелі, горка в комплексі, руко хід, металева стінка для занять.  Ремонт лав – 1 шт. (рейок – 3 шт.), (6 під.) – фарбування огорожі мешканцями – 1 банка бежевої фарби (наданна мешканцям). Фарбування елементів дитячого майданчику (гірка, качелі).  Фарбування елементів дитячого майданчику (гірка, сидіння на гойдалці - 2 шт.). спортивний майданчик – ремонт тренажера (електрозварювальні роботи). Куточок відпочинку – закріплення лави для відпочинку (електрозварювальні роботи).  На дитячому майданчику (7 під.) - ремонт каруселі (зварювальні роботи).  Завезення чорнозему на прибудинкові території (1 під.) – 1 машина. Ремонт тренажера во дворі. (7п.) – встановлення решіток від голубів на техповерсі – 4 шт. (7 під.) – ремонт трубопроводу внутрішнього водостоку з встановленням рем комплекту Ду100 – 1 шт.  (7під., тех. поверх / 9 поверх) – заміна ділянки трубопроводу зливної каналізації. Труба Ду89 – 5 м/п ( зварювальні роботи).  (7 під.) – заміна трубопроводу внутрішнього водостоку з технічного поверху до 9 поверху, труба Ду89 - 4,5 м.п., зварювальні роботи.  (3 під.) – заміна трубопроводу зливної каналізації з даху будинку і по тех. поверху. Роботи виконували покрівельники та фахівці ЖЕД. Труба Ду100 – 1 м.п, лист металевий - 0,5 кв.м, труба Ду110/1000, Ду110/500 – 1 шт., коліно Ду110/45 – 2 шт.  Відновлення освітлення елеваторних вузлів.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</si>
  <si>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кв.75 - заміна ввідного крану Ду15 – 1 шт. на трубопроводі холодного водопостачання. кв.68 - заміна ввідного крану водопостачання на квартиру Ду15 – 1 шт., з демонтажем та встановленням лічильнику. кв. 105 – заміна ввідного крану на квартиру Ду15 - 1 шт., з демонтажем та встановленням лічильнику.  кв.56 - знімання лічильника х/в та прочистка врізки. Заміна ввідного крану Ду15 - 1 шт. (1 під.) – заміна ділянки трубопроводу холодного водопостачання, труба Ду40 – 1 м.п., різьба Ду20 – 0,5 м.п., кран Ду20 – 1 шт.  Ремонт системи опалення, гідравлічні випробування та пред’явлення представникам ЧТЕ (3 елеватори) Заміна крану Ду15 – 1 шт. в 1 елеваторі, ремонт запірної арматури  засувок – 2 шт., кранів – 8 шт., відновлення ,закріплення теплової ізоляції – 3 м.п.  кв.88 – усунення протікання води з радіатору з заміною кранів Ду20 – 2 шт.  кв.69/65 - усунення протікання води з трубопроводу ц/о, заміна крану Ду20 – 1 шт. кв.33 – ремонт каналізаційного трубопроводу з частковою заміною фасонних частин: трійник Ду110, компенсатор. 1 під. – ремонт каналізаційного трубопроводу, заміна відвід Ду110/45 – 2 шт., глушка – 1 шт.  кв.38 – усунення протікання каналізаційного трубопроводу з заміною гофри. (2,3 під.) – встановлення навісних замків на двері входу в підвали – 2 шт., (ключі здали на уч аварійної служби). Обрізання ожини на огорожі 2під. за будинком, зі сторони вул. Виноградна.  Благоустрій прибудинкової території: підрізка зелених насаджень, вирізання порослі, прибирання.  Фарбування на прибудинкових територіях: фарбування лавок – 5 шт., урн – 3 шт. Ремонт огорожі спортивного майданчику з демонтажем пошкоджених металоконструкцій. Ремонт лави для відпочинку, електрозварювальні роботи + встановлення лави (б/у).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Ремонт обладнання в ВРЩ-0,4 кВ (заміна наконечників та опресування кабелю; заміна утримувачів ПН та ПН-100А).      </t>
  </si>
  <si>
    <t xml:space="preserve">(1п.) – тех.поверх – встановлення ремкомплекту Ду89 – 1 шт. на  трубопроводі водопостачання. Встановлення лічильників поливу квітників, опломбування поливних лічильників. кв.123 - заміна пошкодженого трубопроводу водопостачання Ду25 - 2,0 м.п. кв.22 – заміна пошкодженого трубопроводу водопостачання Ду25 - 1,0 м.п., різьба Ду25 - 2 шт. Встановлення ремкомплектів на трубопроводах г/води: Ду50 – 1 шт., (4 під.) Ду32 – 1 шт.,  (2 під.) Ду40 – 1 шт., (2п.) Ду80 - 1 шт.  Ремонт та гідравлічне випробування системи опалення: ремонт засувок Ду50 - 16 шт., Ду100 - 4 шт., ремонт кранів Ду25- 24 шт., Ду15 - 4 шт., заміна «заглушок» на збросниках стояків Ду15 - 6 шт., Ду20 – 6 шт., заміна кранів кульових Ду15 - 1 шт., Ду25 - 2 шт. Ремонт засувок на системі опалення, набивка сальників Ду50 - 2 шт.  (3п.) – заміна трубопроводу каналізації Ду50 – 1 м.п., коліно Ду50х45 – 1 шт., перехід Ду110/50 – 1 шт.    Встановлення заглушек (2п.) Ду110 – 1 шт.  (1 під.) - заміна пошкодженого трубопроводу каналізації Ду76 - 1,5 м.п., перехід Ду76/110 - 1 шт.   кв.18/22/23 - заміна пошкодженого трубопроводу каналізації Ду110 - 5,0 м.п. через перек4риття, коліно Ду110х45 - 2 шт., хрестовина Ду110/110х67 - 1 шт., трійник Ду110/50х90 – 2 шт. перехід Ду72/50 – 2 шт., перехід Ду24/110 - 1 шт., компенсатор Ду110 – 1 шт., муфта перехідна Ду110/110 – 1 шт.   (3 під.) - заміна пошкодженого трубопроводу каналізації Ду50 - 1,0 м.п., коліно Ду50х45 - 1 шт., муфта Ду50 - 1 шт.  Поточний ремонт покрівлі: (1, 2 під.) – л/кл – 5 кв.м. (2 під., 9 поверх) - ремонт мет. решітки виходу на тех. поверх, електрозварювання. (3,4п.) – ущільнення дверей виходу на покрівлю (монтажна піна).  Встановлення замків: (1 під.) - технічний поверх – 1 шт., (2 під.) - вхід в підпілля – 1 шт.  Ремонт дверей вихід на покрівлю - 2,3,4 пп. - встановлення замків -3 шт. Фарбування лавок - 7 шт. (місто). Фарбування лавок прибудинкові – 4 шт.  Фарбування урн прибудинкові – 3 шт.   Ремонт лавок прибудинкові  – 3 лавки (6 рейок).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Відновлення освітлення елеваторних вузлів. 
</t>
  </si>
  <si>
    <t xml:space="preserve">(1п.) – х/в ремонт ділянки лежака, заміна труби Ду32 – 3,5 м.п., Ду15 – 4,5 м.п., ремонт крану кульового Ду32 – 1 шт., врізання до лежака Ду15 – 4 шт., заміна  крану кульового Ду15 – 4 шт.   (2 під.) – х/в ремонт ділянки лежака, заміна труби Ду50 – 3,5 м.п., Ду40 – 3 м.п., Ду32 – 2,5 м.п., Ду20 – 6 м.п., Ду15 – 4,5 м.п., ремонт крану кульового Ду32 – 1 шт., Ду20 – 1 шт., врізання до лежака Ду15 – 4 шт., заміна  крану кульового Ду15 – 4 шт.   кв.56 – х/в ремонт врізання до стояка Ду15 – 0,5 м.п., врізання до стояка Ду15 – 1 шт., ремонт крану кульового Ду15 – 1 шт.  (1 під.) – х/в ремонт ділянки лежака, труба Ду32 – 1 м.п., врізання до лежака Ду32 – 1 шт., ремонт крану кульового Ду32 – 1 шт., заміна труби Ду20 – 0,5 м.п., ремонт крану кульового Ду20 – 1 шт.   (1 під.) – х/в ремонт ділянки лежака, труба Д25 – 1,0 м.п., врізання до лежака Ду25 – 1 шт., ремонт крану кульового Ду25 – 1 шт., заміна труби Ду15 – 0,5 м.п., ремонт крану кульового Ду15 – 1 шт.  (1 під.) – х/в ремонт ділянки лежака труба Ду25 – 2 м.п., врізання до лежака  Ду25 – 1 шт., ремонт крану кульового Ду25 – 1 шт., заміна труби Ду15 – 0,5 м.п., ремонт крану кульового Ду15 – 1 шт.   Встановлення лічильників холодної води для поливу прибудинкових клумб  п.2.  (2 під.) – х/в ремонт ділянки лежака, ремонт труба Ду32 – 1,5 м.п., ремонт крану кульового Ду32 – 1 шт.  (1 під.) – х/в ремонт ділянки труби Ду25 – 1,5 м.п., ремонт крану кульового Ду25 – 1 шт.   кв.22 – х/в ремонт ділянки труби Ду25 – 0,5 м.п., ремонт врізання труби Ду15 – 0,5 м.п., ремонт крану кульового Ду15 – 1 шт.   (2 під.) – х/в ремонт ділянки труби Ду25 – 0,5 м.п., ремонт врізання Ду15 – 0,5 м.п., ремонт крану кульового Ду15 – 1 шт.  (1 під.) – х/в ремонт ділянки труби Ду32 – 1 м.п., ремонт врізання Ду32 – 0,5 м.п., ремонт крану кульового Ду32 – 1 шт.  кв.18 – х/в ремонт ділянки труби Ду15 – 1 м.п., ремонт врізання Ду15 – 0,5 м.п., ремонт крану кульового Ду15 – 1 шт.  кв.26 – х/в ремонт врізання ділянки стояка, ремонт ділянки труби Ду15 – 1 м.п., ремонт врізання Ду15 – 0,5 м.п., ремонт крану кульового Ду15 – 1 шт.  кв.54 – х/в ремонт ділянки врізання до стояка, ремонт ділянки труби Ду15 – 1 м.п., ремонт врізання Ду15 – 0,5 м.п., ремонт крану кульового Ду15 – 1 шт.  Ремонт та гідравлічне випробування системи ц/о: ремонт ділянки труби Ду57 – 2,5 м.п., Ду25 – 2,5 м.п., ремонт засувок Ду50 - 3 шт., ремонт кранів Ду32 - 2 шт., ремонт вентилів Ду25 - 4 шт., Ду20 – 3 шт., прочищення фільтрів – 2 шт.  (підвал, під'їзд 1) – ремонт ділянки лежака каналізації, ремонт труби ПХВ Ду110 – 1 м.п.,  ремонт  коліно  ППРДу110 – 1 шт.,  ремонт патрубок компенсаційний ППРДу110 - 1 шт. (підвал, під'їзд  2) – ремонт ділянки лежака каналізації, ремонт труби ПХВ Ду110 – 0,5 м.п.,  ремонт коліна ППРДу 110 – 2 шт.,  ремонт патрубок компенсаційний ППРДу110 - 1 шт.  (підвал, під'їзд 2) – ремонт ділянки лежака каналізації, ремонт труби ПХВДу110 – 1 м.п.,  ремонт  муфта  ППРДу110 – 1 шт. (підвал, під'їзд 2) – ремонт ділянки лежака каналізації, ремонт труби ПХВДу110 – 0,5 м.п., ремонт коліна ППРДу110 – 2 шт.,  ремонт трійник ППРДу110 - 1 шт.  кв.56 – ремонт ділянки стояка каналізації ПХВДу50 – 1,5 м.п., ремонт муфта Ду50 вставна з PPR HT – 1 шт., ремонт манжет Ду50 – 1 шт., ремонт трійника ППРДу50 – 1 шт.  (1 під.) – ремонт ділянки лежака каналізації, ПХВДу110 – 1 м.п., ремонт трійника ППРДу110 – 1 шт., ремонт коліно ППРДу110 – 1 шт. Фарбування вуличних лавок внутрішньо дворових – 5 шт.  Ремонт вуличних лавок – 2 шт. (рейок – 4 шт.).  Ремонт обладнання дитячих майданчиків вуличних (заміна дошок, рейок) – 5 шт., встановлення 2-ох рейок на лаві для відпочинку на дитячому майданчику та ремонт дитячого ігрового комплексу.  Фарбування (закрашення) написів на фасадах будівель (наркотичних, інформаційних) - 0,9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</si>
  <si>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кв.2 – х/в ремонт врізання до стояка, ремонт труба Ду15 – 0,5 м.п., врізання до стояка  Ду15 – 1 шт., ремонт крану кульового Ду15 – 1 шт.; (4 під.) – х/в ремонт ділянки лежака, заміна труба Ду25 – 1,5 м.п., Ду15 – 1,5 м.п., заміна крану кульового Ду25 – 1 шт., Ду15 – 5 шт.  (4 під.) – х/в ремонт ділянки труби Ду25 – 0,5 м.п., Ду15 – 1 м.п., ремонт врізання Ду25 – 0,5 м.п., ремонт крану кульового Ду25 – 1 шт.  (5 під.) – х/в ремонт ділянки лежака водопостачання, ремонт ділянки труби Ду25 – 1,5 м.п., ремонт врізання Ду15 – 0,5 м.п., ремонт крану кульового Ду15 – 1 шт.  (2 під.) – х/в ремонт ділянки лежака водопостачання Ду32 – 1,5 м.п., ремонт врізання Ду32 – 0,5 м.п., ремонт крану кульового Ду32 – 1 шт. Ремонт та гідравлічні випробування системи опалення: (ел. №1, 1,2 під.) - ремонт ділянки труби Ду50 –1 м.п., Ду32 – 1,5 м.п., заміна засувок Ду50 - 2 шт., ремонт засувок Ду50 - 2 шт., ремонт вентилів Ду25 - 2 шт., Ду20 – 3 шт., заміна кульових кранів Ду25 - 1 шт., Ду20 - 2 шт., Ду15 - 3 шт., прочищення грязевиків –2 шт. (ел. №2, 3,4 під.) – ремонт ділянки труби Ду80 – 0,5 м.п., Ду25 – 1,5 м.п., заміна засувок Ду80 - 2 шт., ремонт вентилів Ду25 - 2 шт., Ду20 – 4 шт., ремонт кульових кранів Ду32 - 1 шт., заміна кульових кранів Ду20 - 2 шт., Ду15 - 2 шт., прочищення грязевиків – 2 шт. (ел. №3, 5 під.) – ремонт ділянки труби Ду57 – 2 м.п., Ду25 – 2,5 м.п., ремонт засувок Ду50 - 1 шт., ремонт вентилів Ду25 - 2 шт., Ду20 – 4 шт., заміна кульових кранів Ду25 - 1 шт., Ду20 - 2 шт., Ду15 - 2 шт., прочищення грязевиків – 2 шт. кв.77 –  ремонт ділянки стояка каналізації ПХВДу110 – 0,5 м.п., ремонт перехід муфта Ду110 - 1 шт., ремонт коліно ППРДу110 – 1 шт., ремонт патрубок компенсаційний ППРДу110 – 1 шт.   (3 під.) – ремонт ділянки стояка каналізації ПХВДу110 – 0,5 м.п., ремонт муфти перехід ППРДу110 - 1 шт., ремонт компенсатор ППРДу110 - 1 шт.   (5 під.) – ремонт ділянки лежака каналізації ПХВ Ду110 – 0,5 м.п., ремонт муфта вставна Ду110 - 1 шт., ремонт коліно ППРДу110 – 1 шт., ремонт муфта перехід  ППРДу110 – 1 шт., ремонт трійник ППРДу110 – 1 шт., ремонт патрубок компенсаційний ППРДу110 - 1 шт.   (5 під.) – ремонт ділянки лежака каналізації ПХВДу110 – 0,5 м.п., ремонт трійник ППРДу110 – 1 шт., ремонт муфта перехід ППРДу110 – 1 шт., ремонт патрубок компенсаційний ППРДу110 - 1 шт.   (5 під.) – ремонт ділянки лежака каналізації ПХВДу110 – 0,5 м.п., ремонт трійник ППРДу110 –1 шт., ремонт муфта перехід ППРДу110 – 1 шт., ремонт патрубок компенсаційний ППРДу110 - 1 шт.   кв.12 – ремонт ділянки стояка каналізації ПХВ Ду110 – 1,5 м.п., ремонт ревізія Ду110 - 1 шт., ремонт коліно, муфта перехід ППРДу110 – 1 шт., ремонт трійник ППРДу110 – 1 шт., ремонт муфта компенсаційний ППРДу110 – 1 шт.  (3 під.) – ремонт ділянки лежака каналізації ПХВДу110 – 2,5 м.п., ремонт коліно муфта перехід ППРДу110 – 2 шт., ремонт трійник ППРДу110 – 1 шт., ремонт муфта компенсаційний ППРДу110 – 1 шт.   (3 під.) – ремонт ділянки лежака каналізації, заміна труби ПХВДу110 – 2,5 м.п., заміна муфта перехід ППРДу110 – 1 шт., заміна трійник ППРДу110 – 1 шт., заміна коліно ППРДу110 – 1 шт., заміна муфта компенсаційний ППРДу110 – 1 шт.  (1 під., укриття) – ремонт ділянки каналізації ПХВДу50 – 0,5 м.п., заміна умивальнику – 1 шт., заміна крану кульового Ду15 – 1 шт.    (3 під., укриття) – каналізація ремонт обладнання, заміна комплекту до фаянсового бачка унітазу з бічним підключенням – 1 шт.  (підвал, 1 під., укриття) – каналізація ремонт обладнання, заміна комплекту до фаянсового бачка унітазу з бічним підключенням – 1 шт.  (3 під., укриття) – ремонт ділянки лежака каналізації ПХВДу50 – 1 м.п., ремонт муфта ППРДу50 – 1 шт., ремонт коліно ППРДу50 – 1 шт.  (3 під.) – ремонт ділянки лежака каналізації ПХВДу110 – 0,5 м.п., ремонт муфта Ду110 вставна з PPRHT – 1 шт., ремонт манжет Ду110 – 1 шт., ремонт патрубок компенсаційний ППРДу110 - 1 шт., ремонт трійника ППРДу110 – 1 шт.  (1п.) – ремонт решітки (зварювальні роботи) на підході до Укриття. Фарбування (закрашення) написів на фасадах будівель (наркотичних, інформаційних) – 2 кв.м. (торець 1п.).  Зачистка від старої фарби, грязі лавок, підготовка до фарбування із застосуванням ручного інструменту.   Фарбування вуличних лавок внутрішньо дворових – 7 шт.  Фарбування вуличних лавок – 1 шт. внутрішньо дворових.   Фарбування вуличних урн – 5 шт. місто (центр). Фарбування вуличних урн – 1 шт. внутрішньо дворових.  Фарбування вуличних лавок - 4 шт. внутрішньо дворових.  Фарбування вуличних урн – 2 шт. внутрішньо дворових. Фарбування елементів внутрішньо дворових дитячих майданчиків  – 1 шт. Прибирання, збирання і вивіз коліс з прибудинкових територій із застосуванням навантажувача і самоскида РСУ. На дитячому майданчику ремонт дитячого ігрового комплексу. На дитячому майданчику ремонт настилу ігрового комплексу, заміна дерев’яних рейок – 3 шт.  На дитячому майданчику ремонт ланцюгів на гойдалки.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Відновлення живлення в укритті. </t>
  </si>
  <si>
    <t xml:space="preserve">кв.84 – х/в ремонт ділянки стояка, ремонт труби Ду25 – 0,5 м.п., ремонт врізання до стояка Ду15 – 1 шт., ремонт крану кульового Ду15 – 1 шт.  кв.86 – х/в ремонт врізання до стояка, ремонт труба Ду15 – 0,5 м.п., врізання до стояка Ду15 – 1 шт., ремонт крану кульового Ду15 – 1 шт.   , кв.28 – х/в ремонт врізання до стояка, ремонт труба Ду15 –  0,5 м.п., ремонт врізання до лежака Ду15 – 1 шт., ремонт крану кульового Ду15 – 1 шт.  (кор.Б) – х/в ремонт ділянки лежака, заміна труба Ду25 – 2,5 м.п., врізання до лежака Ду15 – 1 шт., встановлення лічильника Ду15 – 1 шт., встановлення комплекту до лічильника Ду15 – 1 шт., встановлення клапана зворотного Ду15 – 1шт., встановлення фільтру Ду15 – 1 шт., заміна крану кульового Ду15 – 1 шт.   Встановлення лічильників холодної води для поливу прибудинкових клумб (кор.Б) – 1 шт.   (корпус А, кв. 24) – х/в ремонт врізання до стояка, ремонт труба Ду15– 0,5 м.п., ремонт відсічного крана Ду15 - 1 шт.  кв.39,40 – х/в ремонт врізання до стояка, ремонт ділянки труби Ду15 – 0,5 м.п., ремонт врізання до стояка Ду15 – 1 шт., ремонт крану кульового Ду15 – 1 шт.   (кор.Б) – х/в ремонт врізання до лежака, ремонт ділянки труби Ду50 – 1,9 м.п., ремонт врізання Ду50 – 0,5 м.п., ремонт крану кульового Ду50 – 1 шт.  кв.24 – х/в ремонт ділянки труби Ду15 – 0,5 м.п., ремонт врізання Ду15 – 0,5 м.п., ремонт крану кульового Ду15 – 1 шт. (Кор.А,Б) – ремонт та гідравлічні випробування системи опалення: ремонт ділянки труби Ду57 – 4,5 м.п., Ду25 – 4 м.п., ремонт засувок Ду50 - 3 шт., ремонт вентилів Ду25 - 4 шт., Ду20 – 3 шт., ремонт кульових кранів Ду25 - 1 шт., заміна кульових кранів Ду20 - 2 шт., Ду15 - 3 шт., прочищення грязевиків – 2 шт. кв.24 – ремонт ділянки стояка каналізації, заміна труби ПХВДу110 – 1,5 м.п., муфта вставна Ду110 - 1 шт., заміна коліно ППРДу110 – 1 шт., муфта перехід ППРДу110 – 1 шт., редукція ППРДу110 – 1 шт., заміна патрубок компенсаційний ППРДу110 – 1 шт.   (кор.Б) – ремонт ділянки лежака каналізації, ремонт труби ПХВДу110 – 0,5 м.п.,  ремонт коліно ППРДу110 – 1 шт., ремонт патрубок компенсаційний ППРДу110 – 1 шт.    кв.22 – ремонт ділянки стояка каналізації, ремонт труби ПХВДу110 – 0,5 м.п., ремонт муфта ППРДу110 – 1 шт., ремонт патрубок компенсаційний ППРДу110 – 1 шт.  (кор.Б) – ремонт ділянки лежака каналізації, ремонт труби ПХВДу110 – 1,5 м.п., ремонт муфта ППРДу 110 – 2 шт., ремонт трійник ППРДу110 – 1 шт.  (кор.А) – ремонт ділянки лежака каналізації, ремонт труби ПХВДу110 – 0,5 м.п.,  ремонт муфта ППРДу110 – 1 шт., ремонт патрубок компенсаційний ППРДу110 – 1 шт.  кв.26 – ремонт ділянки стояка каналізації ПХВДу110 – 1,5 м.п., ремонт манжет Ду110х127 – 1 шт., ремонт трійника ППРДу110 – 1 шт., ремонт патрубок компенсаційний ППРДу110 - 1 шт., ремонт ревізії ППРДу110 - 1 шт.   (кор.А, 2 поверх) – поточний ремонт під’їзду після пожежі.  Фарбування (закрашення) написів на фасадах будівель (наркотичних, інформаційних) – 1,9 кв.м. Ремонт вуличних лавок – 1 шт. (рейок – 1 шт.). Фарбування елементів внутрішньо дворових дитячих майданчиків  – 1 шт.   Підрізування дерев та кущів (вишняку). Прибирання, збирання і вивіз коліс з прибудинкових територій із застосуванням навантажувача і самоскида РСУ.  Фарбування (закрашення) написів на фасадах будівель (наркотичних, інформаційних) - 0,5 кв.м.   ТО обслуговування ВРЩ-0,4кВ заміна рубильника 600А – 1 шт., тримачі ПН 250А -2 шт., 100А – 2 шт.; вимір напруги; розподіл навантаження; ізоляція дротів;  ТО обслуговування ВРЩ-0,4кВ вимір напруги; розподіл навантаження; ізоляція дротів. </t>
  </si>
  <si>
    <t xml:space="preserve">(1 під.) – х/в ремонт ділянки лежака, ремонт труби Ду25 – 0,5 м.п., ремонт врізання до стояка Ду25 – 1 шт., ремонт крану кульового Ду25 – 1 шт.  (підвал, під'їзд 2) – х/в  ремонт ділянки лежака, ремонт труба Ду25 – 1,5 м.п., ремонт труба Дм20 – 0,5 м.п., ремонт труба Ду15 – 1,5 м.п., заміна крану кульового Ду20 – 2 шт., заміна крану кульового Ду15 – 2 шт.  (1 під.) – х/в ремонт ділянки лежака, ремонт ділянки труби Ду20 – 0,5 м.п., ремонт врізання Ду20 – 0,5 м.п., ремонт крану кульового Ду20 – 1 шт. Ремонт і підготовка до гідравлічного випробування системи ц/о: ремонт ділянки труби Ду50 – 1 м.п., Ду32 – 2,5 м.п., заміна засувок Ду50 – 2 шт., ремонт вентилів Ду25 -2 шт., Ду20 – 4 шт., заміна кульових кранів Ду20 - 1 шт., Ду15 - 1 шт., прочищення грязевиків – 2 шт. (1під.) –  ремонт ділянки лежака каналізації ПХВДу110 – 0,5 м.п., муфта Ду110 - 1 шт., ремонт коліно ППРДу110 – 1 шт., ремонт патрубок компенсаційний ППРДу110 - 1 шт. кв.78 – ремонт ділянки стояка, каналізації, ремонт труби ПХВДу110 – 1,5 м.п., ремонт ревізія Ду110 - 1 шт., ремонт коліно муфта перехід ППРДу110 – 1 шт., ремонт муфта компенсаційний ППРДу110 – 1 шт. (1 під.) – ремонт ділянки лежака каналізації, заміна труби ПХВДу110 – 3,5 м.п., заміна коліна  ППР Ду110 – 3 шт., заміна трійнику ППР Ду110 – 2 шт., заміна хрестовини ППРДу110 – 2 шт. Фарбування вуличних лавок – 3 шт.  Фарбування вуличних лавок – 1 шт. місто (центр).  Фарбування вуличних урн – 3 шт. місто (центр).  Фарбування вуличних урн – 2 шт. внутрішньо дворових.  Фарбування вуличних лавок - 2 шт. внутрішньо дворових. Фарбування вуличних урн – 2 шт. внутрішньо дворових. Фарбування елементів внутрішньо дворових дитячих майданчиків – 1 шт. Фарбування (закрашення) написів на фасадах будівель (наркотичних, інформаційних) – 1,0 кв.м. (горище, 2 під.) – ремонт ділянки лежака зливової каналізації, заміна труби ПХВДу110 – 12,5 м.п., заміна муфта Ду110 вставна з PPR HT – 2 шт., заміна манжет Ду110 х 127 – 2 шт., заміна коліно ППРДу110 – 8 шт., заміна трійника ППРДу110 – 2 шт., заміна заглушка ППР Ду110 – 2 шт., заміна ревізії ППРДу110 - 2 шт.  кв.62 - перевірка схеми підключення лічильника.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</si>
  <si>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(1 під.) – х/в ремонт ділянки лежака, труба Ду25 – 1 м.п., врізання до лежака Ду25 – 1 шт., ремонт крану кульового Ду25 – 1 шт., заміна труби Ду15 – 0,5 м.п., ремонт крану кульового Ду15 – 1 шт.  (1 під.) – х/в ремонт ділянки лежака, заміна труба Ду25 – 3,5 м.п., врізання до лежака Ду25 – 1 шт., заміна крану кульового Ду25 – 1 шт.  (5 під.) – х/в ремонт ділянки лежака, ремонт ділянки труби Ду25 – 1,5 м.п., ремонт врізання труби Ду25 – 0,5 м.п., ремонт крану кульового Ду25 – 1 шт.  кв.45 – х/в ремонт врізання до ділянки стояка, заміна труби Ду25 – 0,5 м.п., врізання крану кульового Ду25 – 1 шт., крану кульовий Ду25 – 1 шт. Ремонт і підготовка до гідравлічного випробування системи ц/о: ремонт ділянки труби Ду89 – 2 м.п., Ду25 – 2,5 м.п., заміна засувок Ду80 - 2 шт., ремонт вентилів Ду25 - 2 шт., Ду20 – 4 шт., заміна кульових кранів Ду15 - 4 шт., прочищення грязевиків – 2 шт. (5п.) – ремонт ділянки лежака каналізації ПХВ110 – 1,5 м.п., ремонт муфта Ду110 - 1 шт., ремонт коліно ППРДу110 – 1 шт., ремонт патрубок компенсаційний ППРДу110 - 1 шт.  кв.48 – ремонт ділянки стояка каналізації, ремонт труби ПХВДу110 – 1,5 м.п., ремонт коліно муфта перехід ППРДу110 – 1 шт., ремонт трійник ППРДу110 – 1 шт., ремонт муфта компенсаційний ППРДу110 – 1 шт.  кв.48 – ремонт ділянки стояка каналізації ПХВДу110 – 0,5 м.п., ремонт коліно ППРДу110 – 3 шт., ремонт трійник ППРДу110 – 2 шт., ремонт муфта компенсаційний ППРДу110 – 1 шт.  (підвал, під'їзд 1) - ремонт ділянки лежака каналізації ПХВ Ду110 – 0,5 м.п., ремонт коліно ППР Ду110 - 1 шт., ремонт патрубок компенсаційний ППР Ду110 - 1 шт. кв.82 – ремонт ділянки стояка каналізації труби ПХВ Ду110 – 0,5 м.п., ремонт трійник ППР Ду110 – 1 шт., ремонт патрубок компенсаційний ППРДу110 – 1 шт. кв.80 – ремонт ділянки стояка каналізації ПХВДу110 – 0,5 м.п., ремонт коліно ППРДу110 – 1 шт., ремонт трійник ППРДу110 – 1 шт. (2 під.) – ремонт ділянки лежака каналізації ПХВДу110 – 1,5 м.п., ремонт коліно ППРДу110 – 1 шт., ремонт трійник ППРДу110 – 1 шт., ремонт хрестовина ППРДу110 - 1 шт. (2 під.) – ремонт ділянки лежака каналізації, заміна труби ПХВДу110 – 3 м.п., заміна коліно ППРДу110 – 4 шт., ремонт трійник ППРДу110 – 1 шт., заміна перехід ППРДу110 – 2 шт. кв.18 – ремонт ділянки стояка, ремонт ділянки труби ПХВДу110 – 0,5 м.п., ремонт трійника ППРДу110 – 1 шт., ремонт муфта перехід ППРДу110 – 1 шт.   Фарбування (закрашення) написів на фасадах будівель (наркотичних, інформаційних) – 2,3 кв.м. (торець 8п.), 2 кв.м. (торець 1п.).  Фарбування вуличних лавок – 9 шт.  Фарбування вуличних урн – 3 шт. внутрішньо дворових.  Фарбування елементів внутрішньо дворових дитячих майданчиків  – 1 шт.  На дитячому майданчику ремонт каруселі, електрозварювальні роботи, заміна підшипників. Фарбування (закрашення) написів на фасадах будівель (наркотичних, інформаційних) - 0,5 кв.м.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</si>
  <si>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Зняття глушок  та встановлення лічильників обліку води та їх опломбування з представниками ЧВК. Заміна крану Ду15 – 1 шт. на трубопроводі холодного водопостачання на полив клумб.  кв.105,99 – усунення протікання холодної води до бойлеру, заміна крану Ду15 – 1 шт. Ремонт системи опалення, заміна крану Ду15 – 1 шт., ревізія кранів – 3 шт., прочищення гнізд під манометри, гідравлічні випробування.  кв.122 – ремонт трубопроводу ц/опалення по ванній кімнаті.  (підвал під кв.116) – встановлення крану Ду15 – 1 шт. на трубопроводі центрального опалення.  кв.105,99 – усунення протікання холодної води до бойлеру, заміна крану Ду15 – 1 шт.  (2 п.) - ремонт каналізаційного трубопроводу в підвалі з закріпленням, встановлення глушки Ду110.   кв.96 - ремонт каналізаційного трубопроводу з встановленням бандажу, по кв.118 – прочищення каналізаційного стояку.   кв.157 - заміна ділянки трубопроводу (фанова труба) Ду110/1000 – 1 шт., муфта вставна Ду110, компенсаційний патрубок, кріплення.  кв.127 - ремонт змивного бачка з заміною гнучкого шлангу.   Сквер Руденко – ремонт 2-х лав для відпочинку, заміна рейок – 2 шт., підрізання кущів ялівцю та дерев.  Фарбування лавок на загально міських територіях – 5 шт.   Фарбування урн на загально міських територіях (сквер) – 5 шт.  Сквер «Руденко» – обрізання кущів ялівцю.  Сквер Руденко - фарбування лавок на загальноміських територіях – 2 шт.  Фарбування на прибудинкових територіях:   фарбування лавок- 3 шт., урни – 2 шт.  Фарбування майданчику для сушки білизни.  (сквер) – фарбування альтанки.  На дитячому майданчику ремонт гірки, закріплення огорожі.   На дитячому майданчику ремонт гойдалки, заміна мет. ланцюгів.  1 кв.м. - фарбування фасадів будинків з ціллю знищення надписів наркотичного змісту.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</si>
  <si>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кв.42 – заміна ввідного крану Ду15 – 1 шт. на трубопроводі холодного водопостачання. кв.87 – усунення протікання х/води, заміна ділянки трубопроводу Ду20 – 0,5 м.п. кв.18 – ремонт трубопроводу холодного водопостачання, ст. різьба Ду15 – 2 шт. кв.49 – заміна ввідного крану на трубопроводі холодного водопостачання Ду20 – 1 шт. кв.20,31 - усунення протікання води з заміною шлангу до змішувача. кв.102 - усунення протікання холодної води з встановленням рем комплекту Ду25. кв.70 – заміна ділянки трубопроводу холодного водопостачання Ду20 – 0,5 м.п., заміна ввідного крану Ду15 – 1 шт.  кв.225 - заміна ввідного крану на трубопроводі холодного водопостачання Ду15 – 1 шт. кв.142 – заміна ввідного крану на квартиру Ду15 - 1 шт., з демонтажем та встановленням лічильнику. кв.86 – усунення течі, нарізання різьби на трубопроводі водопостачання та встановлення лічильника та вентиля Ду15 – 1 шт. кв.13 – усунення течі. Заміна шлангів на змішувач. кв.143 – знімання лічильника х/в та прочистка врізки. Заміна ввідного крану Ду15 – 1 шт. кв.9 – заміна ввідного крану на трубопроводі холодного водопостачання Ду20 – 1 шт. кв.125 – прочищення трубопроводу холодної води зі зняттям та наступним встановленням крану Ду20. кв.123,122 – ремонт трубопроводу холодного водопостачання з демонтажем крану та заміною ділянки труби Ду20 - 0,5 м.п., з наступним встановленням крану. кв.142 – прочищення трубопроводу холодного водопостачання з демонтажем крану та лічильнику з наступним встановленням. кв.42 – ремонт трубопроводу холодного водопостачання з нарізанням різьбового з єднання. кв.118 – усунення протікання холодної води з заміною крану на бойлер Ду15 – 1 шт. кв.17 - ремонт трубопроводу холодного водопостачання з нарізанням різьбового з’єднання та встановленням крану Ду20 – 1 шт. кв.408 – демонтаж трубопроводу г/в зі зварювальними роботами та попередньо демонтаж прибору обліку води з наступним встановленням.   кв.84 – демонтаж трубопроводу г/в з встановленням заглушок. кв.110 – усунення протікання трубопроводу центрального опалення з заміною кранів (американки).  Заміна ділянки трубопроводу центрального опалення, труба Ду76 – 12 м/п, фланець Ду50 – 2 шт., болт М16 – 8 шт., гайка М16 – 8 шт.  Ремонт та гідравлічне випробування системи опалення з пред’явленням системи опалення представникам ЧТЕ.  Аварійна служба - демонтаж сушки для рушників. Встановлення глушки (пайкова заглушка) Ду25 – 1 шт. Зварювальні роботи.  кв.98 – ремонт каналізаційного трубопроводу з встановленням бандажу.  кв.150,131 - усунення протікання води, ремонт каналізаційного трубопроводу з встановленням бандажу. кв.29 – ремонт каналізаційного трубопроводу з встановленням бандажу. кв.264 – ремонт каналізаційного трубопроводу з встановленням бандажу. кв.200,219 - усунення протікання води, ремонт каналізаційного трубопроводу з встановленням бандажу. кв.59,60,48,49 – заміна ділянки каналізаційного трубопроводу через перекриття Ду110х250 – 1 шт., Ду110х500 – 1 шт., Ду110х1000 – 1 шт., хрестовина Ду110х110х45, компенсатор 110х124 – 4 шт.   кв.24 – заміна ділянки каналізаційного трубопроводу Ду110/1000 – 1 шт., компенсаційний патрубок, муфта вставна Ду110, перехід Ду110/124, Ду124/110, коліно Ду110/45. кв.227 – ремонт каналізаційного трубопроводу з заміною трійника Ду110. кв.102 - заміна ділянки каналізаційного трубопроводу Ду110/1000 – 1 шт., трійник Ду110/110/90, компенсаційний патрубок Ду110, муфта вставна Ду110, перехід Ду110/124, Ду124/110, круг відрізний – 2 шт., кріплення.  кв.107 - ремонт каналізаційного трубопроводу з встановленням бандажу та частковою заміною трубопроводу, труба Ду110/1000 – 1 шт., Ду110/500 – 1 шт., Ду110/250 – 1 шт., компенсатор, муфта Ду110, коліно Ду110/45, стрижень для укріплення.  кв.124 – ремонт каналізаційного трубопроводу Ду110 – 2 м.п., перехід Ду124/110 – 1 шт. кв.75 – заміна ділянки трубопроводу водовідведення Ду110/2000 - 1 шт., муфта Ду110 - 1 шт. кв.113 – ремонт каналізаційного трубопроводу з встановленням бандажу. (2 під.) – прочищення каналізаційного трубопроводу по підвалу з не значним ремонтом, заміна трійника Ду110/110/45.  (2 під.) – ремонт каналізаційного трубопроводу з встановленням глушки Ду110 – 1 шт. Поточний ремонт покрівлі: кв.95, л/кл – 18 кв.м., кв.98 – 20 кв.м., кв.87 – 7 кв.м.  (2 під.) – ремонт вхідних дверей з встановленням їх на петлі. Фарбування урн – 2 шт. на загально міських територіях.    Фарбування урн – 5 шт. на прибудинковій території.  Фарбування лавок на прибудинковій території –  8 шт.  Фарбування урн на загально міських територіях – 1 шт.,  на дитячому майданчику ремонт горки.   Ремонт лав для відпочинку – 4 шт. (рейок - 7 шт.).  Фарбування огорожі клумби біля 1 під., фарбування урни – 1 шт., а також дверей до сміттєвої камери.  На дитячому майданчику ремонт каруселі, ремонт гойдалки, заміна дер.планок. (кв.98) – ремонт оголовку вентиляційного каналу на даху будинку, відновлення цегляної кладки, штукатурка.  Демонтаж ревуна на ремонт.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Реконструкція ел. мереж у кабінеті електротехнічної дільниці.  </t>
  </si>
  <si>
    <t xml:space="preserve">(підвал, приміщення Спілки ветеранів) – усунення протікання трубопроводу водопостачання з заміною ділянки труби  Ду40 - 0,5 м.п.  кв.79 – заміна ввідного крану Ду20 – 1 шт. на трубопроводі водопостачання. Зняття глушок, встановлення лічильників обліку води для полива по зверненням мешканців. Лічильники - 1 шт., фільтр осадовий – 1 шт., приєднувальний клапан – 1 шт. та їх опломбування фахівцями ЧВК. 1 під. – ремонт трубопроводу водопостачання у підвалі, встановлення різьби Ду15 – 1 шт. за допомогою електрозварки (зварні роботи), а також заміна вентилю Ду15 – 1 шт.  кв.85 - заміна ділянки трубопроводу холодного водопостачання, труба Ду25 – 1 м.п., різьба, кран Ду25 – 1 шт. (1 під., підвал) – заміна врізки та крану Ду20 – 1 шт. на трубопроводі холодного водопостачання. кв.13,25 – заміна ділянки трубопроводу холодного водопостачання Ду40 – 1 м.п. кв.157 – заміна ввідного крану х/в Ду15 – 1 шт., зі зняттям лічильнику та наступним встановленням. кв.50 - демонтаж рециркуляційного трубопроводу гарячої  води в зв’язку з протіканням. демонтаж елеватору для виконання робіт по збільшенню діаметру сопла з 9 мм на 9,5 мм з наступним встановленням. Ремонт системи опалення: ревізія кранів – 5 шт., ревізія засувок – 2 шт., заміна кранів Ду20 – 3 шт., гідравлічні випробування та пред’явлення фахівцям ЧТЕ. кв.85 – демонтаж каналізаційного трубопроводу через перекриття з наступною установкою: труба Ду110 – 3 м.п., перехід 110/124 – 2 шт., манжет резиновий 110/124 – 2 шт., відвід Ду110/45 – 1 шт., компенсатор Ду110 – 1 шт., хрестовина Ду110/110/90 – 1 шт. кв 52 – усунення протікання води під ванною з заміною сифону.  кв.119 - ремонт каналізаційного трубопроводу з заміною гофри. Поточний ремонт покрівлі: кв.67 – 3 кв.м. Закриття люку виходу на дах будинку.  (1 під.) – виготовлення, фарбування та встановлення дверей виходу на дах, проф.труба 40х40 – 4 м.п., 40х20 – 4 м.п., арматура Д12 – 1 м.п., лист мет.δ2мм – 1х2 кв.м. На дитячому майданчику демонтаж старих металоконструкцій – 3 шт., електрозварювальні роботи, ремонт поребриків.  Підрізання насадження, вирізання порослі, зрізання сухих гілок. Фарбування урн – 1 шт. на загально міських територіях. Фарбування урн на загально міських територіях – 1 шт., прибирання підходів виходу на дах 1,2 під. На дитячому майданчику встановлення нового балансиру, ремонт покриття, підсипка відсівом. Фарбування лавок – 2 шт. Ремонт лав для відпочинку – 1 шт., встановлення рейок – 1 шт. на лавках. Встановлення лави для відпочинку на дитячому майданчику. На дитячому майданчику ремонт гойдалки, електрозварювальні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</si>
  <si>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кв.305,307 – зварювальні роботи по відключенню холодного водопостачання на квартиру 305.  кв.102 – усунення протікання холодної води, ремонт крану на пральну машину.   кв.305 – відновлення постачання холодної води, електрозварювальні роботи, труба Ду20 - 0,5 м.п., труба пласт. Ду16 - 1,5 м.п., фітінг – 2 шт., кран Ду20 – 1 шт.    кв.720 – усунення протікання холодної води зі зливного бачку, заміна прокладок.  кв.305 – заміна ввідного крану на трубопроводі холодного водопостачання Ду20 – 1 шт.  кв.214 – заміна ввідного крану на трубопроводі холодного водопостачання Ду20 – 1 шт.  з демонтажем лічильнику та наступним встановленням. кв.623 - усунення протікання холодної води з попереднім демонтажем змивного бачку, нарізанням різьби на трубопроводі холодного водопостачання, заміною крану Ду15 – 1 шт., та наступним встановленням змивного бачку.  кв.617,717 -  усунення протікання холодної води з заміною шлангу до бойлеру. кв.912 - заміна ввідного крану Ду20 – 1 шт. з демонтажем  лічильнику та наступним встановленням. кв.215 – усунення протікання холодної води з демонтажем крану Ду20 – 1 шт., нарізанням різьби та встановленням крану. кв.513 - заміна ввідного крану Ду15 – 1 шт. на трубопроводі холодного водопостачання.  кв.808 - ремонт трубопроводу холодного водопостачання з заміною крану та нарізанням різьбового з єднання Ду15 – 1 шт. кв.620 – заміна ввідного крану на трубопроводі холодного водопостачання Ду20 – 1 шт. кв.401.201 – вияснення причини затоплення та усунення протікання холодної водив кв.401, заміна крану Ду20 – 1 шт. кв.724,624 – усунення протікання холодної води з заміною ділянки труби Ду20 – 2 м/п.  кв.907 – заміна ввідного крану на трубопроводі холодного водопостачання Ду20 – 1 шт.  кв.907 – демонтаж трубопроводу г/водопостачання з встановленням глушки. кв.214 – усунення протікання води з системи опалення. Встановлення кранів на трубопроводі після перемички Ду20 – 2 шт. Ремонт системи опалення з заміною крану на трубопроводі по підвалу Ду20 – 2 шт., заміна фланцевого крану Ду100 – 1 шт., ремонт засувок – 2 шт., ревізія кранів по підвалу – 8 шт., прочистка гнізд під термометри, гідравлічні випробування та пред’явлення представникам ЧТЕ.  кв.924 - заміна крану «Маєвського» на радіаторі.  кв.720 – ремонт каналізаційного трубопроводу з встановленням бандажу.  кв.407, 307 – ремонт трубопроводу водовідведення з частковою заміною муфти Ду110, компенсаційного патрубка.  кв.425 – ремонт каналізаційного трубопроводу з заміною трійника Ду110/110/90. (підвал під кв.125) - ремонт каналізаційного трубопроводу з заміною ділянки, труба Ду110/1000 – 1 шт., муфта Ду110.   кв.502,402 – усунення протікання холодної води з заміною сифону.  кв.903 – заміна ділянки каналізаційного трубопроводу з квартири і до тех. поверху (фанова труба). Труба Ду110 – 3 м/п, коліно Ду110/45.  2 під. - встановлення замка на двері виходу на тех. поверх.  (1 під., 4 поверх) – ремонт дверей пожежного переходу.  Фарбування лав – 3 шт. на прибудинковій території. Фарбування лавок на прибудинковій території – 7 шт. Фарбування на прибудинкових територіях: фарбування елементів дитячого майданчику та фарбування площадки для сушки білизни.  (3,4під.) - фарбування поручнів при входах в під’їзди. На дитячому майданчику ремонт гойдалки, електрозварювальні роботи. Ремонт огорожі 2-х секцій дитячого майданчику, електрозварювальні роботи. (1 під., 4-й поверх) – закладання вікна в під’їзді OSB – 140х85 кв.м. (1 під.) – закладання отвору після заміни трубопроводу дощової каналізації, 10 шт. цегли, штукатурка – 1 кв.м. (1 під.) - демонтаж стіни на першому поверсі в районі кв.106,108 - для доступу до трубопроводу зливної каналізації. Встановлення крану Ду20 – 1 шт. на трубі, злив води з даху дому, Прочищення трубопроводу зливної каналізації через отвір з наступним промиванням трубопроводу та заварюванням отвору.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Усунення  наслідків аварії що виникла внаслідок стабілізаційних відключень електроенергії по місту (ТО обслуговування ВРЩ-0,4кВ; заміна тримачів ПН, заміна ПН-100А-250А; відновлення живлення від ВРЩ-0,4кВ до поверхових щитків; вимір напруги; розподіл навантаження; ізоляція дротів).  
 </t>
  </si>
  <si>
    <t xml:space="preserve">Капітальний ремонт заміна каналізаційних випусків та випусків зливової каналізації Ду110 – 21 м.п. багатоквартирного будинку за адресою: м. Чорноморськ, вул. Олександрійська, 24 (2,3 під.) Ду110 – 12 м.п. (37 952,7 грн.) (бюджет).  Поточний ремонт прибудинкової території, внутрішньоквартального проїзду за адресою: м. Чорноморськ, вул. Олександрійська, 24 - 15 022,8 грн. </t>
  </si>
  <si>
    <t xml:space="preserve">(1-2 під.) – демонтаж заглушок та встановлення лічильників обліку води для полива та їх опломбування з представниками ЧВК.  кв.82 - ремонт трубопроводу холодного водопостачання з заміною ввідного крану Ду20 – 1 шт. та нарізанням різьбового з’єднання.  Ремонт системи опалення, ремонт засувок – 3 шт., ревізія кранів – 5 шт., гідравлічні випробування з представниками ЧТЕ. (2під. під кв.59) – прочищення каналізаційного трубопроводу по підвалу та часткова заміна трубопроводу, труба Ду110/1000 – 1 шт., обробка підвалу хлорним вапном. кв.3/підвал – заміна через перекриття каналізаційного трубопроводу Ду110/2000 – 1 шт., Ду110/1000 – 1 шт., коліно Ду110/45 – 2 шт., компенсатор, трійник Ду110/110/45, кріплення.  кв.2 – ремонт каналізаційного трубопроводу з частковою заміною, муфта Ду110.  (1 під.) – встановлення заглушки Ду110 – 1 шт. на каналізаційному трубопроводі.  Поточний ремонт покрівлі: кв.35 – 2 кв.м., кв.35, л/кл – ремонт примикання – 3 м.п. (3 під.) – встановлення замку на двері виходу на дах.  Фарбування урн – 1 шт. на загально міських територіях.  Підрізання дерев та гілок.  Фарбування лавки – 1 шт.  Ремонт лав для відпочинку – 2 шт., встановлення рейок – 3 шт. на лавках.   (2 під.) - демонтаж лави для відпочину та транспортування для ремонту в РБД.   Завезення чорнозему на прибудинкові території (3 під.) – 1 машина. (2,3,1 під.) – облаштування газонів з плануванням землею.  (3 під.) – закриття отвору першого поверху в підвал після заміни трубопроводу внутрішнього водостоку через перекриття. Цементна стяжка. (3п.) – закладання тріщини між вимощенням та цоколем будинку – 10м.п., (3п.) – поточний ремонт вимощення – 1 кв.м. 3 під. – закріплення трубопроводу внутрішнього водостоку. 3 під. – демонтаж трубопроводу внутрішнього водостоку з наступною установкою через перекриття : труба Ду110 – 9 м.п., перехід Ду24/110 – 1 шт., гумовий перехід Ду110/124 – 1 шт., коліно Ду110/45 – 8 шт., кріплення до труби Ду110 – 4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</si>
  <si>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кв.82,98 - усунення протікання води після пожежі, заміна шлангів до змішувача.    Зняття глушок  та встановлення лічильників обліку води та їх опломбування з представниками ЧВК.  (кор.Б) – заміна крану Ду15 – 1 шт. на трубопроводі холодної води на полив.  кв.23 – заміна ділянки трубопроводу холодної води Ду20 – 0,5 м.п., та ввідного крану Ду20 – 1 шт.  кв.116 – заміна ділянки трубопроводу холодного водопостачання Ду25 – 1 м.п. Демонтаж елеваторного вузла для виконання робіт по збільшенню діаметру сопла з 8 мм до 9 мм, по розрахункам ЧТЕ та наступне встановлення.  Регулювання системи опалення з заміною шайби в елеваторному вузлу.   Ремонт системи опалення: заміна крану по підвалу в корпусі Б Ду25 – 1 шт., в елеваторі Ду15 – 1 шт., ревізія кранів – 3 шт., ревізія засувок – 1 шт., гідравлічні випробування та пред’явлення представникам ЧТЕ. кв.103,87 – ремонт трубопроводу центрального опалення. Заміна крану на радіаторі Ду20 – 2 шт. кв.139,123 – заміна ділянки трубопроводу водовідведення через перекриття., труба Ду110 – 2 м.п., трійник Ду110/110/90, муфта Ду110, компенсатор Ду110, коліно Ду110/45, стрижень для укріплення.  корпус Б – закриття люку виходу на дах будинку.  (корпус Б) – встановлення замку на двері виходу на дах. Фарбування урн – 1 шт. на загально міських територіях. Фарбування лав – 1 шт. на загально міських територіях.  Ремонт лав – 1 шт. (рейок – 2 шт.). Ремонт (зварювальні роботи) горки на д/майданчику.  Фарбування лавок – 7 шт. + стіл. (кор.Б. 3 поверх) – відбивання штукатурки відкосів дверного блоку виходу на пожежний перехід, ремонт відкосів, штукатурка.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</si>
  <si>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кв.51 – усунення протікання холодної води з заміною шлангу до змивного бачку.   кв.21 – заміна ввідного крану на трубопроводі холодного водопостачання Ду20 – 1 шт.   кв.49 – заміна ділянки трубопроводу холодного водопостачання Ду20 - 0,5 м.п., заміна ввідного крану Ду20 – 1 шт.   Зняття глушок  та встановлення лічильників обліку води та їх опломбування з представниками ЧВК.  кв.26 – заміна ввідного крану Ду15 – 1 шт. на трубопроводі холодного водопостачання.  (2 під.) - зняття заглушок на трубопроводі холодного водопостачання, встановлення лічильників обліку води та їх опломбування фахівцями ЧВК. кв.133 - нарізання різьбового з’єднання для встановлення крану Ду15 – 1 шт. кв. 90 – заміна ввідного крану на квартиру Ду15 - 1 шт., з демонтажем та встановленням лічильнику.  кв.3 – заміна ввідного крану х/в  на квартиру Ду15 – 1 шт., з демонтажем та встановленням лічильнику.  під кв.153 – заміна крану на трубопроводі холодного водопостачання Ду25 - 1 шт. кв.12 – заміна ввідного крану на трубопроводі холодного водопостачання Ду20 – 1 шт.  (укриття) – заміна насосу соло-ліфт (вандалізм), для каналізаційного трубопроводу. кв.49 – демонтаж трубопроводу рециркуляції г/води. Ремонт системи опалення, гідравлічні іспити, пред’явлення фахівцям ЧТЕ. Ремонт запірної арматури, засувок – 2 шт., кранів Ду20 - 12 шт.  кв.161 – усунення протікання радіатору. Перепакували крани.   Заміна крану Ду15 – 1 шт. на стояк опалення.  (підвал під кв.158) – встановлення крану на трубопроводі центрального опалення Ду15 – 1 шт.  кв.6,12 – заміна ділянки каналізаційного трубопроводу через перекриття: труба Ду110/2000 – 1 шт., Ду110/250 – 1 шт., Ду110/500 – 1 шт., перехід Ду110/124, Ду124/110, компенсатор Ду110, трійник Ду110/110/90 – 1 шт. 2 під. – заміна каналізаційного трубопроводу в підвалі. Труба Ду110 – 2,5 м.п. трійник Ду110/45 – 1 шт., компенсатор 110 – 1 шт. кв.90,84 – заміна ділянки каналізаційного трубопроводу через перекриття Ду110/2000 – 1 шт., Ду110/1000 - 1 шт., Ду110/500 – 1 шт., Ду110/250 – 1 шт., трійник Ду110/110/90, муфта Ду110, коліно Ду110/45 – 2 шт. (укриття) – заміна насосу соло-ліфт (вандалізм), для каналізаційного трубопроводу. Ремонт огорожі газону, зварювальні роботи, проф.труба 40х40 – 1 м.п.   Демонтаж та вивіз шин з прибудинкової території.  На дитячому майданчику ремонт гойдалки, електрозварювальні роботи.  Фарбування урн – 2 шт. на загально міських територіях.  Фарбування урн – 1 шт. на прибудинковій території. Фарбування лавок на прибудинковій території  – 3 шт., ремонт огорожі спортивного майданчику, електрозварювальні роботи. Фарбування лав на прибудинкових територіях – 3 шт. На дитячому майданчику ремонт гойдалки (встановлення дер.планок).   Фарбування лавки – 1 шт. на загально міських територіях. Фарбування на прибудинкових територіях:  фарбування лавок – 4 шт.  Ремонт лав  – 2 шт. (рейок – 3 шт.). Завезення чорнозему на прибудинкові території (3 під.) – 1 машина. (3 під., сміттєва камера) – ремонт трубопроводу внутрішнього водостоку, заміна коліна Ду110/45, укріплення.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</si>
  <si>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(2 під.) - зняття заглушок на трубопроводі холодного водопостачання, встановлення лічильників обліку води та їх опломбування фахівцями ЧВК. (2 під.) – заміна ділянки трубопроводу холодного водопостачання труба поліпропіленова Ду50 – 4 м.п., муфта Ду50 – 2 шт. кв.28 -  усунення протікання води з трубопроводу рециркуляції, демонтаж ділянки труби з встановленням глушки Ду25. Ремонт системи опалення. Заміна кранів в елеваторному вузлу Ду15 – 2 шт. (Р1, Р3). Ремонт запірної арматури, засувок – 1шт, кранів – 8 шт., гідравлічні випробування з представниками ЧТЕ. Та складання акту. кв.28,31 – заміна ділянки каналізаційного стояку через перекриття Ду110/2000 – 1 шт., Ду110/500 – 1 шт., Ду110/1000 – 1 шт., трійник Ду110/110/90. Поточний ремонт покрівлі: кв.68 – 14 кв.м.  На дитячому майданчику ремонт горки (встановлення 2-х колес), гойдалки (встановлення рейок),  демонтаж каруселі для ремонту в РБД (заміна підшипників), встановлення каруселі після ремонту та фарбування в РБД,  заміна підшипників, ремонт днища – 0,5 кв.м. фанери.  Демонтаж металевих конструкцій.  Фарбування урн – 3 шт. на загально міських територіях.   Фарбування лавок на прибудинковій території  – 4 шт. Фарбування лавок на загально міських територіях (дитяча площадка) – 3 шт.  Фарбування паровозика на дитячому майданчику.  Фарбування елементів дитячого майданчику (драбина, каруселі, качелі) на загально міських територіях. Фарбування огорожі дитячого майданчику. В РБД – ремонт (заміна підшипників) та фарбування каруселі демонтованої з дитячого майданчику, встановлення після ремонту в РБД каруселі, електрозварювальні роботи. 1,5 кв.м. - фарбування фасадів будинків з ціллю знищення надписів наркотичного змісту.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</si>
  <si>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кв.34 – заміна ввідного крану Ду15 – 1 шт. на трубопроводі холодного водопостачання зі зняттям та наступним встановленням лічильнику. кв.4 - заміна ділянки трубопроводу холодного водопостачання з демонтажем та наступним встановленням крану, труба Ду20 - 0,5 м.п. кв.24 - усунення протікання холодної води з заміною ділянки труби Ду20 – 1 м.п. Заміна ділянки трубопроводу центрального опалення по підвалу  (стояк) під квартирою 1,5,9, труба Ду25 - 2 м.п., кран Ду25 - 1 шт. та пред’явлення представникам ЧТЕ на гідравлічні іспити. Заміна крану на системі опалення по підвалу на стояку по кв.21 Ду25 - 1 шт., Ду32 - 1 шт., Ду15 - 1 шт. кв.26 – ремонт каналізаційного трубопроводу зі зняттям унітазу та заміною частин, труба Ду110/1000 – 1 шт., муфта Ду110, коліно Ду110/45 та наступним встановленням унітазу.  Демонтаж та вивіз шин з прибудинкової території. Фарбування урн – 1 шт. на загально міських територіях. Фарбування на прибудинкових територіях: фарбування лавок – 5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</si>
  <si>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(техпідвал 1 під.) - заміна лежаку водопостачання Ду32 – 6 м.п., Ду40 – 8 м.п. за допомогою електрозварювання, включаючи (привариш – 1 шт., перехід (ніпель) 1¼ *1 – 1 шт., перехід (ніпель) Д2*1 – 1 шт., муфта Ду40 – 2 шт., муфта Ду32 – 7 шт., муфта Ду25 – 2 шт., муфта Ду20 – 1 шт., кут Ду32 – 3 шт., кут Ду40 – 9 шт., кут Ду25 – 3 шт., трійник Ду40*32 – 3 шт., трійник Ду40*20 – 1 шт., перехід Ду40*32 – 1 шт., перехід Ду40*25 – 1 шт., фум, пакля). Ремонт та гідравлічні випробування системи опалення, ремонт вентилів на стояках Ду20 – 12 шт., часткова теплоізоляція трубопроводів Ду50 – 2 м.п., Ду20 – 1 м.п. Маркування трубопроводів в тепловому вузлу. Встановлення замків (1 під. підвал) - 1 шт.  Фарбування лав для відпочинку – 3 шт. (прибудинкова).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</si>
  <si>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опалення, ремонт вентилів на стояках Ду20 – 12 шт., часткова теплоізоляція трубопроводів Ду50 – 4 м.п., Ду20 – 3 м.п. Маркування трубопроводів в тепловому вузлу. Ремонт лав для відпочинку – 2 шт., заміна планок – 2 шт. (прибудинкова). Фарбування лав для відпочинку – 4 шт. (прибудинкова). Фарбування стойок на білизняних майданчиках. Фарбування стойок на білизняному майданчику.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</si>
  <si>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заміна вентилів на вантузах Ду15 – 2 шт., ремонт вентилів на стояках Ду20 – 18 шт., часткова теплоізоляція трубопроводів Ду50 – 6 м.п., Ду20 – 2 м.п. Маркування трубопроводів в тепловому вузлу. Фарбування лав для відпочинку – 1 шт. (прибудинкова).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</si>
  <si>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ремонт вентилів на стояках Ду20 – 12 шт., часткова теплоізоляція трубопроводів Ду50 – 4 м.п., Ду20 – 2 м.п. Маркування трубопроводів в тепловому вузлу.  (1 під) – розбивка бетонної підлоги в під`їзді – 0,3м³; розкопка лежаку опалення – 0,45м³, заміна частки лежаку опалення Ду50 (обратка) – 2 м.п. за допомогою електрозварювання, включаючи (привариш – 1 шт., МРВ 50/1 ½" – 1 шт., перехід 40/50 – 1 шт.).  Благоустрій прибудинкової території: зрізання сухих та підрізання дерев, кущів, порослі  озеленювачем.   Фарбування лав для відпочинку – 1 шт. (прибудинкова).   Фарбування стойок на білизняному майданчику. (1 під.) – відновлення підлоги у під’їзді після заміни трубопроводу опалення, підсипання, цементне стягування – 2 кв.м. (1 під.) – ремонт стіни при вході до під’їзду, штукатурка – 0,5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</si>
  <si>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 "Поточний ремонт, заміна випусків госпфекальної каналізації за адресою: м. Чорноморськ, вул. Шевченка, 13"(2 під.) – заміна 2-х каналізаційних випусків Ду110 – 7 м.п. та Ду110 - 4 м.п.  (1,3 під.) – заміна каналізаційних випусків Ду110 – 7 м.п. (3 під), та Ду110 – 6 м.п. (1 під) (115 308,05 грн.). </t>
  </si>
  <si>
    <t xml:space="preserve">Ремонт та гідравлічні випробування системи опалення, ремонт вентилів на стояках Ду20 – 16 шт., часткова теплоізоляція трубопроводів Ду50 – 6 м.п., Ду20 – 2 м.п. Маркування трубопроводів в тепловому вузлу. (горище 2 під.) – заміна фанової труби ЧК100 на ПВХ110 – 2 м.п.   Поточний ремонт покрівлі: (шифер) – 2 кв.м. з використанням автовишки. Благоустрій прибудинкової території: зрізання сухих та підрізання дерев, кущів, порослі  озеленювачем.   Фарбування урн – 3 шт. (місто). Фарбування лав для відпочинку – 1 шт. (прибудинкова).  Фарбування стойок на білизняних майданчиках.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кв.1 – відключення, підключення ел. енергії на замовлення АТ ДТЕК.    </t>
  </si>
  <si>
    <t xml:space="preserve">кв.3 - зміна врізки на трубопроводі х/в, заміна сікучого крану Ду15 – 1 шт. за допомогою електрозварювання, аварійне усунення течі.  кв.9 - заміна частки стояку водопостачання Ду25 – 1 м.п. за допомогою електрозварювання включаючи (привариш – 1 шт.).  Ремонт та гідравлічні випробування системи ц/о, ремонт вентилів на стояках Ду20 – 16 шт., часткова теплоізоляція трубопроводів Ду50 – 3 м.п., Ду20 – 2 м.п. Маркування трубопроводів в тепловому вузлу.  Фарбування стойок на білизняному майданчику. (2 під.) – прибирання мусору на горище 2 під., кв.10 – ремонт стелі, лист OSB – 1 шт., рулон мін вати.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</si>
  <si>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(тепловий вузол) – розбірка/збірка фланцевого з`єднання Ду50 – 1 шт., коригування шайби, заміна болтів, гайок та гумових прокладок.  Ремонт та гідравлічні випробування системи ц/о, ремонт вентилів на стояках Ду20 – 16 шт., часткова теплоізоляція трубопроводів Ду50 – 4 м.п., Ду20 – 2 м.п. Маркування трубопроводів в тепловому вузлу.  Поточний ремонт покрівлі: (2 під.) – 3 кв.м. (шифер) з використанням автовишки Зеленгосп. Фарбування стойок на білизняному майданчику. (2 під.) – ремонт слухового вікна на горище, встановлення, закріплення з використанням автовишки Зеленгосп.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</si>
  <si>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ремонт вентилів на стояках Ду20 – 22 шт., часткова теплоізоляція трубопроводів Ду50 – 4 м.п., Ду20 – 2 м.п. Маркування трубопроводів в тепловому вузлу. Благоустрій: зрізання сухих та підрізання дерев, кущів, порослі озеленювачем.  Фарбування лав для відпочинку – 1 шт. (прибудинкова).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</si>
  <si>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Ремонт та гідравлічні випробування системи опалення: заміна вентилів Ду20 – 2 шт., ремонт вентилів на стояках Ду20 – 18 шт., часткова теплоізоляція трубопроводів Ду50 – 8 м.п., Ду20 – 4 м.п. Маркування трубопроводів в тепловому вузлу. Зафарбовування надписів на фасадах будинків Корабельна 2,2а – 2,7 м²,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</si>
  <si>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Ремонт та гідравлічні випробування системи опалення: ремонт вентилів на стояках Ду20 – 24 шт., часткова теплоізоляція трубопроводів Ду50 – 4 м.п., Ду20 – 2 м.п. Маркування трубопроводів в тепловому вузлу.  кв.9 – заміна частки стояку опалення Ду32 – 2 м.п. через міжповерхове перекриття за допомогою електрозварювання, аварійне усунення течі.  кв.9 - заміна стояку опалення Ду25 – 2 м.п. за допомогою електрозварювання, включаючи (привариш – 1 шт., муфта – 2 шт.).  Фарбування лав для відпочинку – 4 шт. (прибудинкова).   Ремонт лав для відпочинку – 2 шт., заміна планок – 4 шт. (прибудинкова).  Фарбування лав для відпочинку – 4 шт. (прибудинкова).   (2 під.) – встановлення решіток на сходових маршах – 3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</si>
  <si>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"Поточний ремонт, заміна випуску госпфекальної каналізації за адресою:м. Чорноморськ, вул. Данченка, 4 (1п)" Ду110 - 7 м.п. (24 953,59 грн.).</t>
  </si>
  <si>
    <t>Ремонт та гідравлічні випробування системи ц/о, заміна вентилів Ду15 – 2 шт., ремонт вентилів на стояках Ду20 – 24 шт., часткова теплоізоляція трубопроводів Ду50 – 8 м.п., Ду20 – 6 м.п. Маркування трубопроводів в тепловому вузлу.  Фарбування урн – 1 шт. (місто).   Фарбування лав для відпочинку – 2 шт. (місто).   Фарбування лав для відпочинку – 2 шт. (прибудинкова).   Фарбування урн – 1 шт. (прибудинкова).   Фарбування стойок на білизняних майданчиках.   Прочищення водосточних труб (2 під.), (2 під.) – ремонт водосточної труби з розбиранням, прочищенням та збиранням, з використанням автовишки.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</si>
  <si>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кв.18 - зміна врізки на трубопроводі х/в, заміна сікучого крану Ду15 – 1 шт.  за допомогою електрозварювання, аварійне усунення течі.  кв.24 – заміна частки стояку водопостачання Ду25 – 1 м.п., заміна крану Ду15 – 1 шт. за допомогою електрозварювання, аварійне усунення течі.  кв.44 - зміна врізки на стояку х/в за допомогою електрозварювання, аварійне усунення течі.   кв.44 - заміна частки стояку водопостачання Ду20 – 2 м.п., заміна крану Ду20 – 1 шт. за допомогою електрозварювання. кв.3 – заміна підводок до радіатору опалення Ду20 – 2 м.п. за допомогою електрозварювання включаючи (привариш – 2 шт., муфта – 2 шт.), аварійне усунення течі.  Ремонт та гідравлічні випробування системи опалення: ремонт вентилів на стояках Ду20 – 24 шт., часткова теплоізоляція трубопроводів Ду50 – 8 м.п., Ду20 – 6 м.п. Маркування трубопроводів в тепловому вузлу. Проточний ремонт покрівлі: кв.36 – 40 кв.м.  Фарбування урн – 3 шт. (місто).  Фарбування лав для відпочинку – 2 шт. (місто).   Фарбування лав для відпочинку – 3 шт. (прибудинкова).  Фарбування урн – 3 шт. (прибудинкова).  Фарбування стойок на білизняному майданчику.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</si>
  <si>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 кв.8 - зміна врізки на стояку х/в, заміна сікучого крану Ду15 – 1 шт. за допомогою електрозварювання, включаючи (привариш – 1 шт., муфта – 1 шт.), аварійне усунення течі. Установка лічильників для поливу.  кв.56 – заміна підводки до унітазу, аварійне усунення течі.  кв.27 - зміна врізки на стояку х/в за допомогою електрозварювання, аварійне усунення течі.   кв.56 - аварійне усунення течі по х/в (з вини мешканців), заміна підводки до унітазу. Ремонт та гідравлічні випробування системи ц/о, ремонт вентилів на стояках Ду20 – 22 шт., часткова теплоізоляція трубопроводів Ду50 – 3 м.п., Ду20 – 2 м.п. Маркування трубопроводів в тепловому вузлу. (техпідвал 1 під.) - заміна лежаку каналізації ЧК100 на ПХВ110 – 9 м.п. включаючи фасоніну (перехід Ду110/124 – 1 шт., перехід гумовий Ду110/124 – 1 шт., відвід Ду110/45 – 4 шт., трійник Ду110/45 – 4 шт., ревізія Ду110 – 1 шт., муфта – 1 шт., кріплення – 6 шт.). кв.28 - заміна частки стояку каналізації ЧК100 на ПХВ110 – 1,5 м.п. включаючи фасоніну (перехід 110/124 – 1 шт., перехід гумовий, муфта – 1 шт.). кв.11 - заміна стояку каналізації ЧК100 на ПХВ110 – 2 м.п. включаючи фасоніну (перехід Ду110/124 – 1 шт., перехід гумовий, муфта – 1 шт., коліно Ду110/45 – 2 шт., кріплення – 2 шт.).  кв.60 - заміна стояку каналізації ЧК100 на ПХВ110 – 1,5 м.п. включаючи фасоніну (перехід Ду124/110 – 1 шт., перехід гумовий – 1 шт., коліно Ду110/45 – 2 шт., муфта Ду110 – 1 шт., компенсатор – 1 шт., кріплення – 2 шт.).    (3 під.) – заміна частки трубопроводу водовідведення ПХВ110х2000 – 2 шт., ПХВ110х1000 – 2 шт., ПХВ110х500 – 3 шт., трійник Ду110 – 3 шт., відвід Ду110х45 – 4 шт., ревізія Ду110 – 2 шт., перехід ЧК Ду110 – 2 шт., перехід гумовий. Ду110 – 2 шт., компенсатор Ду110 – 1 шт.  кв.54 – заміна частки трубопроводу водовідведення ПХВДу110х1500 – 1 шт., коліно Ду110х45– 4 шт., через перекриття в підвал. Проточний ремонт покрівлі: кв.40, 57 – 1 кв.м., кв.38,57 – 3 кв.м.; кв.17 – 3 кв.м.  (3 під.) – ремонт дверей виходу на кровлю, заміна навісів. Благоустрій прибудинкових територій (зрізання сухих та підрізання дерев, кущів, порослі  озеленювачем). Фарбування урн – 4 шт. (місто).   Фарбування лав для відпочинку – 7 шт.  Фарбування стойок на білизняних майданчиках. Ремонт лав – 2 шт., заміна планок на лавах для відпочинку (прибудинкова) – 4 шт.  Облаштування вентиляційних отворів в підвалу будинку, пробиття отворів – 7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</si>
  <si>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кв.148 - усунення течі. Заміна шлангів на змивний бачок. (1,2 елеватори) – ремонт системи опалення та гідравлічні іспити з пред’явленням фахівцям ЧТЕ. Ремонт засувок – 2 шт., ревізія кранів – 5 шт., заміна кранів Ду15 - 2 шт., Ду20 – 1 шт., прочищення гнізд під манометри та термометри, встановлення лампочок в елеваторних вузлах – 2 шт.  кв.176 – заміна кранів «Маєвського» на радіаторах – 2 шт., прочищення каналізаційного стояку зі зняттям унітазу та наступним встановленням.  кв.174 – заміна згону на трубопроводі центрального опалення за допомогою електрозварки.  кв.164 – демонтаж сушки для рушників. Зварювальні роботи.  2 під. – усунення течі та нарізання різьби на трубопроводу ц/опалення. кв.136 – заміна крану «Маєвського» на радіаторі опалення.   кв.176 – прочищення каналізаційного трубопроводу та усунення протікання холодної води по ванній кімнаті, встановлення рем комплекту Ду20.   кв.148 – ремонт змивного бачка з заміною гнучкого шлангу.  На дитячому майданчику ремонт шведської стінки, електрозварювальні роботи.  (1 під.) – встановлення лави для відпочинку – 1 шт. На дитячому майданчику ремонт каруселі, заміна підшипників, електрозварювальні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</si>
  <si>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кв.104,108 - ремонт трубопроводу холодного водопостачання з нарізанням різьби та встановленням крану Ду20 – 1 шт.   кв.26  – заміна ввідного крану х/в на квартиру Ду15 – 1 шт., з демонтажем та встановленням лічильнику.  кв.79,75 – усунення протікання холодної води з заміною ділянки трубопроводу Ду40 - 1,5 м.п.  Ремонт та підготовка системи опалення до сезону 2025-2026 року. Заміна фланцевого крану Ду50 – 1 шт. в першому елеваторі, ремонт кранів з набивкою сальників на тех. поверсі – 12 шт., прочистка гнізд під манометри та термометри в 1,2,3 елеваторах , заміна крану в елеваторі № 2 Ду15 – 1 шт.  кв.21 - демонтаж радіаторів по припису КП ЧТЕ, встановлених на балконі. Встановлення ламп в елеваторних вузлах – 4 шт. 1 під – ремонт каналізаційного трубопроводу заміна відвіду Ду110/45 – 1 шт. 3 під. – заміна ділянки каналізаційного трубопроводу у підвалі: труба Ду110/500 – 1 шт., муфта 110 – 1 шт. (2 під.) – заміна ділянки каналізаційного трубопроводу по підвалу. Труба Ду110/3000 – 2 шт., ревізія Ду110, заглушка Ду110.  кв.102 - усунення протікання холодної води з заміною сифону та прочищенням каналізації по кухні. 1 під. – встановлення замка на двері входу в підвал. (1п.) – ремонт та встановлення лави для відпочинку. (1 під.) – ремонт пандусу на ганку, арматура Д12 – 2 м.п., лист мет.δ3мм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</si>
  <si>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кв.89 – заміна ввідного крану на трубопроводі холодного водопостачання Ду20 – 1 шт.  Зняття глушок, встановлення лічильників обліку води для полива по зверненням мешканців. Лічильники - 1 шт., фільтр осадовий – 1 шт., приєднувальний клапан – 1 шт. та їх опломбування фахівцями ЧВК.   кв.77 – заміна ввідного крану на трубопроводі холодного водопостачання Ду20 - 1 шт.  кв.69 – усунення течі. Заміна шлангів на змивний бачок.  (1 під.) – усунення протікання холодної води з встановленням рем комплекту Ду50.  Заміна холодної води по підвалу Труба пн. 20/25м – 20 м.п, трійник Ду25, муфта з різьбою Ду25х3/4, муфта з зовнішньою різьбою Ду25х3/4, труба 20х3/4 – 8 м.п., муфта Ду20х20 – 12 шт., трійник Ду20 – 8 шт., кран кульовий Ду15 – 4 шт., коліно Ду25х90 – 6 шт., муфта Ду25 – 4 шт., хомут – 20 шт., шпилька М8 – 2 шт., кут Ду20х90 – 8 шт., муфта ВР20х1/2 – 2 шт., муфта Ду20х1/2М – 5 шт., муфта з зовнішньою різьбою Ду25х1/2 – 1 шт., стрічка ФУМ – 1 шт., кран кульовий з напівзгоном Ду3/4 -1 шт.  (1під., підвал) – заміна ділянки трубопроводу холодного водопостачання Ду40 – 4 м/п, кран Ду32 – 1 шт. (зварювальні роботи).  кв.22 – усунення протікання холодної води з заміною крану Ду20 – 1 шт. та нарізання різьбового з’єднання.  (2 елеватори)  + прокуратура – підготовка та ремонт системи опалення, гідравлічні іспити з пред’явленням фахівцям ЧТЕ. Ремонт засувок – 4 шт., набивка сальників на пробкових кранах – 4 шт., заміна крану в підвалі по квартирі 68 Ду20 – 1 шт.  (1 під.) – заміна ділянки трубопроводу центрального опалення, труба Ду50 – 1 м.п. (зварювальні роботи).  (1 під.) – зняття параметрів системи центрального опалення та демонтаж елеватора зі зняттям розмірів сопла. Демонтаж зламаної урни на алеї.  Фарбування урн – 8 шт. на загально міських територіях.   Фарбування лав – 4 шт. на загально міських територіях.  Фарбування лавок на прибудинковій території – 2 шт.  Фарбування урн на прибудинкових територіях (ДЮК) – 1 шт.  Демонтаж шин з розрізанням – 7 шт., 1 шт. залишилася, мешканці не дали зрізати.  Ремонт лав – 1 шт. (рейок – 1 шт.), ремонт 2-х лав для відпочинку, заміна рейок – 2 шт. Встановлення урни для сміття. Ремонт огорожі майданчику для контейнерів ТБО. Демонтаж зламаної урни для сміття.  Встановлення урни для сміття. (3 під.) – ремонт крильця входу в під’їзд, обрамлення сходів кутовою сталлю, куточок 50х50 – 7 м.п., арматура Д12 - 6 м.п., ремонт штукатурки, цементне стягування сходів.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</si>
  <si>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кв.53 - усунення протікання холодної води з нарізанням різьби на трубі та встановленням крану Ду20 – 1 шт.  Зняття глушок, встановлення лічильників обліку води для полива по зверненням мешканців. Лічильники - 1 шт., фільтр осадовий – 1 шт., приєднувальний клапан – 1 шт. та їх опломбування фахівцями ЧВК.  кв.39 - заміна ввідного крану на квартиру Ду15 – 1 шт., з демонтажем та встановленням лічильнику.   кв.8 – заміна ввідного крану на трубопроводі Ду20 - 1 шт.; кв.88 – заміна ввідного крану Ду20 – 1 шт. холодного водопостачання Ду15 – 1 шт. кв 51 – усунення протікання холодної води з частковою заміною труби Ду25 - 2 м.п. ( матеріали мешканців).  кв.133 – прочищення трубопроводу холодного водопостачання з попереднім демонтажем крану та прибору обліку води  з наступним встановленням.  кв.143 - ремонт трубопроводу холодного водопостачання з заміною крану та нарізанням різьбового з єднання Ду15 – 1 шт.  кв.142 – заміна ввідного крану на трубопроводі холодного водопостачання Ду20 – 1 шт.  ( 2 елеватори) – ремонт системи опалення, гідравлічні іспити та пред’явлення представникам ЧТЕ. Ремонт засувок – 3 шт., ремонт кранів – 5 шт., закріплення ізоляційного матеріалу по підвалу.  кв.107 – заміна крану «Маєвського» на системі опалення.   під кв.74 – заміна крану Ду20 – 1 шт. на трубопроводі центрального опалення.  (2 під.) - заміна крану Ду20 – 1 шт. в підвалі на трубопроводі центрального опалення.   кв.74 – заміна кранів «Маєвського» на радіаторах – 4 шт.  кв.140 - заміна кранів «Маєвського» на системі опалення (радіатори – 4 шт.). Встановлення заглушки 110 – 2 шт. на каналізаційному трубопроводі.   кв.93 - ремонт каналізаційного трубопроводу з частковою заміною, труба Ду110/1000 – 1 шт., муфта вставна Ду110, компенсаційний патрубок кріплення, перехід Ду110/124, Ду124/110.  3під. – прочистка та ремонт каналізаційного трубопроводу, заміна труби Ду110/250 – 1 шт.  кв.44,48 – заміна ділянки каналізаційного трубопроводу через перекриття. Демонтаж унітазу. Труба Ду110/1500 – 2 шт., Ду110/500 – 1 шт., муфта вставна, компенсатор, хомут, глушка, перехід Ду110/124. Підключення водопроводу та унітазу.  кв.53 – ремонт каналізаційного трубопроводу з встановленням бандажу. кв.55 – ремонт каналізаційного трубопроводу з встановленням бандажу.    Фарбування на прибудинкових територіях: фарбування на дитячому майданчику драбина.  Ремонт лав - 1 шт. (рейок – 1 шт.). Фарбування елементів дитячого майданчику, карусель.  фарбування написів наркотичного змісту.  На дитячому майданчику ремонт каруселі з демонтажем/монтажем, встановлення 2-х нових гойдалок на ланцюгах на два елемента, електрозварювальні роботи.   Скління: (1 під., маш. відділення) – 0,77 кв.м.  (2,3 під., підвал) – ремонт трубопроводу внутрішнього водостоку з заміною металевої труби Ду100 – 1 м.п.  Ремонт обладнання в ВРЩ-0,4 кВ (заміна наконечників та опресування кабелю; заміна утримувачів ПН та ПН-100А).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</si>
  <si>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кв.64 – прочистка врізки холодної води.   (1 під.) – демонтаж глушки та монтаж лічильнику обліку холодного на полив зелених насаджень, опломбування представниками ЧВК.   кв 108 – усунення протікання холодної води з демонтажем ввідного крану , нарізання різьбового з’єднання та встановлення крану ДУ 20. (2ел.) – ремонт системи опалення, гідравлічні іспити та пред’явлення представникам ЧТЕ: ремонт засувок Ду80 – 2 шт., заміна засувки Ду80 – 1 шт. на зворотньому трубопроводі , ремонт кранів – 4 шт, заміна крану Ду15 – 1 шт., встановлення електричних ламп в елеваторі. Пред’явлення фахівцям ЧТЕ. кв.80 – ремонт радіатору з регулюванням кранів, ущільнення та пакування їх.  кв.27 – ремонт радіатору опалення з заміною кранів Ду20 – 2 шт.  (1 під., підвал) – заміна ділянки трубопроводу центрального опалення труба Ду40 - 1,5 м/п. (підвал під кв.4) – закріплення трубопроводу водовідведення з встановленням ремкомплекту Д110, та шпильки.  (3 під.) -  ремонт каналізаційного трубопроводу з закріпленням.  Фарбування урн – 3 шт. Фарбування лав – 8 шт. на прибудинковій території. Ремонт лав  – 5 шт. (рейок – 9 шт.). Зафарбування написів наркотичного змісту на фасадах будинків – 1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</si>
  <si>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кв.528 – усунення протікання холодної води з заміною частки труби Ду25 – 1 м.п.  кв.821,721 – заміна ввідного крану на трубопроводі холодного водопостачання Ду20 – 1 шт.   кв.702 – ремонт трубопроводу холодного водопостачання з заміною ввідного крану Ду20 – 1 шт.   кв.615 – ремонт ввідного крану на трубопроводі холодного водопостачання.  кв.807 - заміна ввідного крану Ду15 – 1 шт. на трубопроводі холодного водопостачання.   кв.221,123 – демонтаж лічильнику х/в, кв.223 - нарізання різьбового з’єднання на трубі холодного водопостачання, встановлення крану Ду15 – 1 шт. та прибору обліку холодної води.  кв.705,605 – обстеження та усунення протікання холодної води. Заміна фільтра з демонтажем та наступним встановленням прибору обліку холодної води.   кв.127/227/225 – демонтаж сталевої труби х. води через перекриття. приварювання різьби Ду15 – 4 шт., Ду25 – 1 шт. Встановлення поліпропіленову трубу PN25 – 6 м.п. а також фасонні частини з 227 квартири до підвалу.   кв.411 – заміна ділянки трубопроводу холодної води. Труба Ду20 – 0,5 м.п.  кв.116 – усунення протікання холодної води з заміною крану Ду15 – 1 шт.   кв.821 – усунення протікання холодної води з заміною ввідного крану Ду20 – 1 шт.  кв.902,904,802 – заміна ділянки трубопроводу холодного водопостачання Ду25 - 0,5 м.п., згін Ду15, кран Ду15 – 1 шт.  кв.821 - ремонт трубопроводу холодного водопостачання з нарізанням різьбового з’єднання та заміною ввідного крану Ду20 – 1 шт.  кв.716 – ремонт трубопроводу холодного водопостачання з заміною шлангів та прочищення каналізаційного трубопроводу. кв.227 – усунення протікання води з демонтажем лічильнику на трубопроводі г/ води та встановлення заглушки Ду15.  Ремонт та гідравлічні випробування системи опалення, пред’явлення представникам ЧТЕ. Заміна крану Ду15 - 1 шт. в 1 елеваторі, ремонт запірної арматури засувок – 2 шт., кранів – 8 шт., відновлення закріплення теплової ізоляції – 3 м.п.  (підвал під кв.110) – встановлення крану Ду15 – 1 шт. на трубопроводі центрального опалення.  кв.111/підвал – заміна ділянки трубопроводу центрального опалення через перекриття Ду20 - 1,5 м.п.  кв.815,716 - усунення протікання води з демонтажем унітазу та прочищенням каналізаційного стояку.  кв.826 – ремонт каналізаційного трубопроводу з встановленням бандажу.  кв.128 – ремонт каналізаційного трубопроводу з встановленням бандажу.   кв.923 – ремонт каналізаційного трубопроводу з встановленням бандажу.  кв.221,123 –  заміна ділянки каналізаційного трубопроводу через перекриття Ду110/500, Ду110/2000 – 1 шт., хрестовина Ду110/110/110/90, заглушка 110, перехід Ду110/124,124/110, компенсаційний патрубок, коліно Ду110/45 – 2 шт. кв.112 – встановлення бандажу на каналізаційний трубопровід.   (1-2 під. за елеватором) – заміна ділянки каналізаційного трубопроводу по підвалу. Труба Ду110/2000 – 6 шт., трійник Ду110/45 – 4 шт., коліно Ду110/45 – 4 шт., труба Ду110/300.   кв.127/227/225 - демонтаж каналізаційної труби через перекриття. Встановлення ПП труби Ду110/2000 – 1 шт., Ду110/1000 – 2 шт., Ду110/500 – 1 шт., Ду110/250 – 2 шт., хрестовина Ду110/90 – 1 шт., компенсатор Ду110 – 1 шт., муфта вставна Ду110 – 1 шт., трійник Ду110/50 – 1 шт.   кв.902,904,802 – заміна ділянки каналізаційного трубопроводу. ХрестовинаДу110 – 1 шт., коліно Ду110/45 – 2 шт., муфта Ду110, труба Ду110/500. Поточний ремонт покрівлі: кв.908 – 6 кв.м.  (2 під.) – встановлення навісних замків на двері підходів до машинних приміщень. (1 під.) – прибирання та вивезення сміття з пожарних сходів на житловому будинку. Фарбування лав на прибудинкових територіях – 8 шт. Ремонт лав для відпочинку  – 1 шт. (рейок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</si>
  <si>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"Поточний ремонт, заміна випуску госпфекальної каналізації за адресою:м. Чорноморськ, вул. В.Шума, 17 (2 під'їзд) Ду110 – 8 м/п. (18 184,99 грн.).</t>
  </si>
  <si>
    <t xml:space="preserve">кв.39 – заміна ввідного крану на трубопроводі холодного водопостачання Ду20 – 1 шт.  (1 під.) – заміна крану Ду15 – 1 шт. на трубопроводі холодного водопостачання з нарізанням різьби в елеваторному вузлі.  (2 під.) - зняття заглушок на трубопроводі холодного водопостачання, встановлення лічильників обліку води та їх опломбування фахівцями ЧВК. кв.33 – заміна ділянки трубопроводу холодного водопостачання Ду25 – 1 м.п.  кв.3 – заміна ввідного крану на трубопроводі холодного водопостачання Ду15 – 1 шт.  Ремонт системи опалення, гідравлічні іспити, пред’явлення фахівцям ЧТЕ, два елеватори. Ремонт засувок - 3 шт., заміна крану по стояку квартири № 40 Ду25 – 1 шт., закріплення ізоляції на тех. поверсі – 2 м.п., ревізія кранів на тех. поверсі – 12 шт., прочищення гнізд для манометрів та термометрів в елеваторних вузлах.  (тех. поверх 2 під. над кв.72) – заміна кранів на трубопроводу центрального опалення Ду20 – 3 шт., Ду15 – 1 шт., різьби Ду20 – 3 шт., Ду15 – 1 шт. (зварювальні роботи).  кв.60 - прочищення фанової труби з тех. поверху до шостого поверху.  (2, 3 під.) – ремонт фанової труби кухонного стояку над квартирою № 68,97.  Поточний ремонт покрівлі: (3 під.), кв.99 – 5 кв.м., кв.65 – 10 кв.м. (2 під.) – ремонт дверей в сміттєву камеру, приварювання петель.  Фарбування урн – 1 шт. на загально міських територіях. Фарбування на прибудинкових територіях:  фарбування лавок – 6 шт. Ремонт лав для відпочинку  – 2 шт. (рейок – 4 шт.), фарбування елементів спортивного майданчику. На дитячому майданчику ремонт металевій огорожі, електрозварювальні роботи. На дитячому майданчику ремонт гойдалки, заміна дер.рейки. Ремонт огорожі спортивного майданчику з демонтажем пошкоджених металоконструкцій. Ремонт лави для відпочинку, електрозварювальні роботи + встановлення лави (б/у). кв.11 – ремонт штукатурки фасаду – 0,5 кв.м., з використанням автовишки.  (2 під., тех. поверх) – заміна трубопроводу зливної каналізації зі зварювальними роботами. Приварювання переходів з Ду76,89 на Ду110 – 3 шт., труба Ду89 - 0,5 м.п., Ду76 0,5 м.п. + 0,5 мм.п., труба Ду110/2000 – 4 шт., Ду110/1500 – 2 шт., Ду110/500 – 2 шт., Ду110/1000 – 1 шт., відвід Ду110/22° – 2 шт., компенсатор Ду110 – 3 шт., трійник Ду110/90, ревізія Ду110 – 2 шт., муфта Ду110 – 1 шт., відвід Ду110/45 – 5 шт., герметик, диск відрізний – 3 шт., шпилька – 3 шт., хомут – 3 шт., дюбель, болт-гайка прохідна – 3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</si>
  <si>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"Поточний ремонт, заміна випуску госпфекальної каналізації за адресою: м. Чорноморськ, вул. В. Шума 19 (2 підїзд)" Ду110 - 6,5 м.п. (25 160,95 грн.).</t>
  </si>
  <si>
    <t xml:space="preserve">кв.709 – заміна ввідного крану на трубопроводі холодного водопостачання Ду20 – 1 шт.   кв.823 – заміна ввідного крану на трубопроводі холодного водопостачання Ду20 – 1 шт. з демонтажем лічильнику та наступним встановленням.  кв.313 - усунення протікання холодної води  з нарізанням різьбового з’єднання  та встановленням крану Ду15 – 1 шт.   кв.119 – заміна трубопроводу холодного водопостачання через перекриття з квартири № 119 до 219, труба Ду32 – 1,5 м.п., Ду20 - 0,5 м.п.  (пошта) – усунення протікання холодної води з заміною ділянки трубопроводу Ду32 – 1 м.п.  1-2 під – облаштування трубопроводу холодного водопостачання на полив клумб з встановленням прибору обліку води . Труба  металопласт. Ду16 - 9 м.п., Муфта 16 ½ - 1 шт., муфта Ду16 - 1 шт., ніпель подвійний 15н ½ - 1 шт., трійник Ду½ - 1 шт, ковпак (заглушка 15 (1/2) - 1 шт., прокладка силіконова ½- 1 шт., лічильник Ду15, приєднувальний комплект, фільтр осадовий. кв.431 – заміна лічильника холодної води.  (Укриття) – заміна крану на ємкості холодної води Ду15 – 1 шт.  кв.807 - заміна ввідного крану на трубопроводі холодного водопостачання Ду20 – 1 шт.  кв.515,415 – усунення протікання холодної води, заміна шлангу до унітазу.  кв.125,127,131, підвал - заміна трубопроводу холодного водопостачання (два стояки суміжні). Встановлення різьб на стояках (зварювальні роботи), трійник Ду25х20х25 – 2 шт., кут Ду20х90 – 2 шт., коліно Ду20х90 – 3 шт., перехід-муфта Ду32х25 – 2 шт., перехід Ду40х25 – 2 шт., труба пн Ду20х25 – 8 м/п, муфта МВР – 2 шт., латуне коліно Ду15 – 1 шт., труба безшовна ПН20– 2 м/п, кран кульовий Ду20 ЗВ – 1 шт., муфта ВР32х25 – 2 шт., муфта Ду20х15 – 2 шт.  Ремонт системи опалення: ремонт засувок Ду80 - 4 шт., ревізія кранів Ду20 - 16 шт., заміна крану Ду20 - 1 шт. під кв.111, прочищення гнізд під термометри та заповнення їх маслом, гідравлічні випробування та пред’явлення фахівцям ЧТЕ.кв.920 – заміна ділянки каналізаційного трубопроводу (фанова труба), труба Ду110/2000 – 1 шт.   кв.309,311 – розбирання пере стінка для заміни трубопроводу водовідведення.   кв.309 – заміна каналізаційного трубопроводу, труба Ду110/500 – 1 шт., трійник Ду110/110/100, труба Ду50/1000 – 1 шт., перехід чавун/пластик Ду50/75, перехід гумовий гофра, перехід Ду100/50, герметик.    кв.324 - усунення протікання холодної води з заміною клапану в змивному бачку.   (пошта) – заміна ділянки каналізаційного трубопроводу Ду110/1000 – 2 шт., Ду110/250 – 1 шт., коліно Ду110/45, перехід Ду110/124, Ду124/110, кріплення. кв.411,409,311 - заміна ділянки каналізаційного трубопроводу через перекриття з демонтажем та наступним встановленням унітазів. Труба Ду110/1000 – 1 шт., Ду110/500 – 1 шт., Ду110/250 – 1 шт., трійник Ду110/110/90, перехід Ду110/50, Ду110/124, Ду124/110, коліно Ду110/45 – 2 шт., муфта Ду110, глушка 110, кріплення.   кв.607 – ремонт каналізаційного трубопроводу з встановленням бандажу.  кв.922 – демонтаж каналізаційного трубопроводу через перекриття з наступною установкою: труба Ду110 – 3,5 м.п., перехід 124/110 – 1 шт., гумовий перехід 110/124 – 1 шт., коліно Ду110/45 – 2 шт., муфта вставна 110 OSTENDORF – 1 шт., хрестовина Ду110/110/90 – 1 шт., ревізія Ду110 – 1 шт., трійник Ду110/90 – 1 шт., перехід 110/50 – 1 шт.    кв.307,407 – усунення протікання води. Ремонт каналізаційного трубопроводу з встановленням бандажу.   (укриття) – заміна унітазу (вандалізм). Унітаз в комплекті, прокладки. Поточний ремонт покрівлі: кв.922, 924 – 5 кв.м.,  кв.916-918 – 1,5м.п. (1 під.) – ремонт грат підходу до маш. відділення, заміна навісу.   1під – встановлення замку на підході до машинного приміщення. (2 під.) – ремонт дверей виходу на дах з заміною петель – 2 шт. Ду16.  (1 під.) – встановлення навісних замків на двері підходів до машинних приміщень. 14 кв.м. - фарбування  написів сумнівного значення  на фасадних стінах.  Ремонт лав для відпочинку  -1 шт. (рейок – 2 шт.), на прибудинкових територіях:
фарбування лавок - 8 шт. + стіл.  (1 під., 1 поверх) – закладання отвору в під’їзді після заміни трубопроводу дощової каналізації, цеглина кладка, штукатурка – 0,5 кв.м. (1 під.) - заміна ділянки трубопроводу зливної каналізації з 1 поверху до виходу на вулицю. Демонтаж стіни на 1 поверсі в районі квартир 106-108, зварювальні роботи для встановлення переходу з труби Ду89 на Ду100. Труба Ду110/2000 – 2 шт., Ду110/1000 – 1 шт., Ду110/500 – 1 шт., трійник Ду110/110/90, глушка, муфта, шпилька – 3 шт., хомут – 3 шт.  Заміна рубильнику в ВРЩ та заміна наконечників на ввідному кабелі – 3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Укриття – заміна вимикача в укритті. 
</t>
  </si>
  <si>
    <t xml:space="preserve"> Капітальний ремонт елеваторного вузла, заміна насосу центрального опалення житлового будинку за адресою: Одеська область, м. Чорноморськ, вул. Олександрійська, 12 (1 елеватор) - 88 002 грн.   "Поточний ремонт, заміна випусків зливової Ду110 - 12 м.п. та госпфекальної каналізації Ду110 - 20 м.п. за адресою: м. Чорноморськ, вул. Олександрійська, 12 (5,6 під.) - 125 873,46 грн.  Поточний ремонт фасаду та внутрішнього машинного приміщення житлового будинку за адресою: м. Чорноморськ, вул. Олександрійська, 12(3п.) - 152 808,8 грн. </t>
  </si>
  <si>
    <t xml:space="preserve">кв.92 – усунення протікання трубопроводу холодного водопостачання по ванній кімнаті.  кв.30 – заміна ввідного крану на трубопроводі холодного водопостачання Ду15 – 1 шт.    Зняття глушок  та встановлення лічильників обліку води та їх опломбування з представниками ЧВК.  кв.8 – заміна ввідного крану Ду15 – 1 шт. на трубопроводі холодного водопостачання.  (6 під.) – заміна крану на трубопроводі холодного водопостачання для поливу клумб Ду15 – 1 шт.  кв.233 – заміна ввідного крану Ду15 – 1 шт. на трубопроводі холодного водопостачання.  (4 під.) - зняття заглушок на трубопроводі холодного водопостачання, встановлення лічильників обліку води та їх опломбування фахівцями ЧВК. кв.200 – заміна ділянки трубопроводу холодного водопостачання Ду32 - 1 м.п.    кв.2 – ремонт бачка, заміна шлангу до бачка.   3 під. – встановлення вентиля Ду15 – 1 шт. на трубопроводі х/води у підвальному приміщені.  кв.256 – усунення течі. Заміна вхідного крану Ду15 – 1 шт., ремонт бачка.  кв.63 – заміри температури в квартирі з представниками ЧТЕ  та зняття параметрів в елеваторному вузлі по скарзі мешканців на низьку температуру теплоносія.  (1 під., 1 ел.) – заміна циркуляційного насосу в елеваторному вузлі, а також встановлення болтів Ду16 – 8 шт., гайки Ду16 – 8 шт., шайби, підключення насосу до мережі.   Ремонт системи опалення: заміна кранів Ду20 – 2 шт. 1,2 елеватори – ремонт системи опалення: заміна  крану фланцевого Ду80 - 1 шт. на  ввідному  трубопроводі подачі в 1 елеваторі. Зварювальні роботи по ремонту бачку, ремонт засувок – 6 шт., ревізія кранів по підвалу – 18 шт., гідравлічні випробування та пред’явлення представникам ЧТЕ. кв 187 – усунення протікання води з батареї при гідравлічних іспитах, заміна крану «Маєвського».  кв.114 - заміна футорки та крану «Маєвського» на радіаторі системи опалення.  (1 елеватор) – заміна крану фланцевого Ду80 – 1 шт., з переварюванням трубопроводу та встановленням фланців (засувка укорочена).  (1 елеватор) – заміна фланцевого крану Ду80 – 1 шт. (засувка укорочена) зі зварювальними роботами, болти, гайки. кв.112 – прочищення каналізаційного стояку з демонтажем унітазу та наступним його встановленням.   кв.2 – усунення протікання зі зливного бачку з заміною частин.   кв.94 – усунення протікання холодної води зі змивного бачку з заміною комплекту арматури.  (5-6 під.) – заміна ділянки каналізаційного трубопроводу по підвалу Ду110/2000 – 8 шт., Ду110/1000 – 1 шт., Ду110/500 – 2 шт., компенсаційний патрубок Ду110 – 2 шт., коліно Ду110/45 - 8шт., муфта Ду110 – 3 шт., трійник Ду110/45 – 4 шт.  кв.48 – ремонт каналізаційного трубопроводу з встановленням бандажу. кв.223,219 – заміна каналізаційного трубопроводу через перекриття, труба Ду110/2000 – 1 шт., Ду11/1000 – 1 шт., Ду110/250 – 1 шт., Ду110/500 – 1 шт., перехід Ду110/124, Ду124/110, муфта вставна Ду110, трійник Ду110/110/45, компенсаційний патрубок, кріплення.   кв.196. – демонтаж чавунного каналізаційного трубопроводу в квартирі, встановлення труби Ду110/2000 – 1 шт., Ду110/500 – 1 шт., муфта Ду110 – 1 шт., перехід Ду124/110 – 1 шт., перехід гумовий Ду110/124 – 1 шт.  кв.267 – ремонт каналізаційного трубопроводу з попереднім демонтажем унітазу, заміною коліна Ду110/45, муфти Ду110, гофрами та встановленням унітазу.  (3,4 під.) – заміна каналізаційного трубопроводу по підвалу. Труба Ду110/3000 - 6 шт., труба Ду110/1500 – 1 шт., Ду110/1000 – 4 шт., Ду110/500 – 2 шт., ревізія Ду110 – 3 шт., трійник Ду110/110/45 – 5 шт., коліно Ду110/45 – 5 шт., перехід Ду110/124, 124/110, герметик.  (3-4 під.) – заміна каналізаційного трубопроводу Ду110/1000 – 4 шт., коліно Ду110/45 – 1 шт., глушка Ду110, манжет резиновий, анкер – 19 шт.  кв.147 – ремонт каналізаційного трубопроводу з частковою заміною фасонних частин, коліно Ду110/45.   (6 під.) – ремонт входу в під’їзд.  (3п.) за будинком – демонтаж «безхозного» люка з наступним встановленням на вул. Захисників України 17 (1п.).  Демонтаж металоконструкцій у 1,3 під. Фарбування урн – 2 шт. на загально міських територіях.   Фарбування лавок на прибудинковій території – 4 шт. (білі), Фарбування лавок на прибудинковій території  Олександрійська 10, 12, Захисників України 13  – 29 шт. + 7 шт.  (фарбування 2 рази, з зеленої в коричневу). Фарбування урн на прибудинкових територіях – 11 шт. (перекрасили з зелених) – 2 рази покриття. (3,4 під.) - фарбування поручнів при входах в під’їзди.  Ремонт лав для відпочинку  – 5 шт. (рейок - 11 шт.),  на спортивному майданчику улаштування покриття з тротуарної плитки – 2,5 кв.м.  На спортивному майданчику ремонт мет. огорожі, електрозварювальні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</si>
  <si>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кв.122 - заміна ввідного крану Ду15 – 1 шт. на трубопроводі холодного водопостачання.  кв.54 – заміна ввідного крану на трубопроводі холодного водопостачання з демонтажем прибору обліку води та наступним його встановленням.  (5 під.) - зняття заглушок на трубопроводі холодного водопостачання, встановлення лічильників обліку води та їх опломбування фахівцями ЧВК.  кв.157 -  нарізання різьби на трубі Ду20 та встановлення крану Ду20 – 1 шт. та лічильнику. кв 41 – ремонт трубопроводу холодного водопостачання з демонтажем  прибору  обліку води, нарізанням різьбового з’єднання  та встановленням лічильнику та крану Ду20 - 1 шт. кв 100 – заміна ділянки трубопроводу холодного водопостачання Ду20 - 1 м.п.  2під. – ремонт трубопроводу х. води у підвалі. Заміна вентиль Ду25 – 1 шт., різьба Ду25 – 2 шт. зварні роботи. Встановлення хомут на трубопровід х. води Ду50 – 1 шт.  кв.143 - заміна ввідного крану на трубопроводі холодного водопостачання Ду15 – 1 шт.   (2 під., підвал) – заміна трубопроводу холодного водопостачання, труба металева Ду50 – 6 м/п.  кв.97 – ремонт трубопроводу холодного водопостачання з заміною крану Ду15 – 1 шт. та нарізанням різьбового з’єднання.  кв.147 – заміна ввідного крану на трубопроводі холодного водопостачання Ду20 – 1 шт. кв.117 – ремонт трубопроводу холодного водопостачання з заміною ввідного крану Ду20 – 1 шт.  кв.143 - усунення протікання холодної води до пральної машини, встановлення ремкоплекту Ду15. Заміна кранів на системі опалення в елеваторах Ду15 – 2 шт.  Ремонт системи опалення гідравлічні іспити, пред’явлення фахівцям ЧТЕ. Ремонт засувок – 4 шт., ревізія кранів – 8 шт. кв 118 – ремонт каналізаційного стояку, заміна часткова труби Ду110/250 - 2 шт. кв.53,57 – ремонт каналізаційного трубопроводу зі зняттям унітазу та заміною гофри.  кв.25 – усунення протікання води з ремонтом кухонної каналізації. Заміна коліна Ду110/45. Поточний ремонт покрівлі: кв.179 – 1 кв.м., 3п.-л/кл – 6 кв.м., кв.106,179,(3п.)- примикання до маш прим. – 10 кв.м.  (4під.) – встановлення замку на двері виходу на тех. поверх. Підрізання дерев, кущів та порослі на прибудинковій території.  (2під.) – встановлення на півсфер біля під’їзду по скарзі мешканця квартири № 41.  Фарбування лавок на прибудинковій території  – 6 шт. Ремонт лав для відпочинку – 5 шт., встановлення рейок – 14 шт. на лавках. (4п.) – виготовлення, окраска та встановлення арки біля під’їзду: проф.труба 40х20 – 27 м.п., труба Ду76 – 10 м.п. (3 під.) – заміна ділянки трубопроводу зливної каналізації в підвалі будинку. Труба Ду10/1500 – 2 шт., Ду110/1000 – 2 шт., Ду110/500 – 2 шт., відвід Ду110/45 – 4 шт., трійник Ду110/110/45, хомут – 4 шт., дюбель, диск відрізний.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</si>
  <si>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кв.140 -  заміна ділянки трубопроводу холодного водопостачання Ду20 – 0,5 м.п. з заміною крану Ду20 – 1 шт.   кв.20 – заміна ввідного крану на трубопроводі холодного водопостачання Ду20 – 1 шт.   кв.71 – заміна ділянки трубопроводу холодного водопостачання, труба Ду20 - 0,5 м.п., заміна ввідного крану Ду20 – 1 шт.   (1, 3 під.) – зняття заглушок, встановлення лічильників обліку холодної води для поливу та опломбування фахівцями ЧВК.   кв.9 – усунення протікання холодної води з нарізанням різьби та становленням крану Ду15 – 1 шт.  Заміна засувки на трубопроводі центрального опалення Ду80 – 1 шт.  Заміна ділянки трубопроводу центрального опалення по підвалу Ду89 – 3 м/п, засувка Ду80 – 1 шт. Гідравлічні іспити та пред’явлення системи опалення представникам ЧТЕ. кв.83 – усунення протікання трубопроводу ц/о, ремонт крану Ду20.  (3під.) – прочищення,  ремонт та закріплення каналізаційного трубопроводу, трійник Ду110/110/45 – 1 шт., муфта Ду110, кріплення з хомутами – 4 шт.  (1під.) – заміна каналізаційного трубопроводу по підвалу, труба Ду110/2000- 3 шт., Ду110/1000 – 1 шт., трійник Ду110/45, перехід Ду124/110, Ду110/124, муфта Ду110, коліно Ду110/45 – 5 шт., кріплення – 4 шт.  кв.1,5 – заміна кухонного каналізаційного трубопроводу через перекриття Труба Ду50/1500 – 1 шт., трійник Ду50/50/50 (матеріали мешканців).   кв.5,9 - заміна каналізаційного стояку через перекриття Ду110/1500 – 1 шт., трійник Ду110, коліно Ду110/45 – 2 шт., муфта Ду110.  Обрізання гілок дерев (горіх на дитячому майданчику).  Демонтаж та вивіз шин з прибудинкової території.  Фарбування урн – 1 шт. на загально міських територіях.  Фарбування лав – 1 шт. на загально міських територіях.  Фарбування лав на прибудинкових територіях – 4 шт.   Фарбування елементів дитячого майданчику (гойдалка, качелі , карусель, паровоз – великий, гірка).  Фарбування елементів дитячого майданчику в дворі. на дитячому майданчику ремонт 2-ох гойдалок, електрозварювальні роботи. (2під., 2пов.) – ремонт трубопроводу внутрішнього водостоку з встановленням бандажу.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</si>
  <si>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кв.117 – усунення протікання холодної води з  встановленням рем комплекту Ду32 – 1 шт.  кв.123,117 – ремонт трубопроводу холодного водопостачання з встановленням рем комплекту Ду32.   (1 під.) - зняття заглушок на трубопроводі холодного водопостачання, встановлення лічильників обліку води та їх опломбування фахівцями ЧВК.  (1 під.) – заміна крану Ду15 – 1 шт. на трубопроводі холодного водопостачання на полив.  (1 під.) - ремонт трубопроводу холодного водопостачання на полив, з заміною крану Ду15 – 1 шт.  кв.77 – заміна ввідного крану на трубопроводі холодного водопостачання Ду20 – 1 шт.  кв.108 – усунення протікання холодної води зі змивного бачку, заміна прокладок. кв.71,77 – заміна ділянки трубопроводу холодного водопостачання через перекриття Ду40 - 1,5 м.п., зварювальні роботи.  кв.24 – заміна ввідного крану на трубопроводі холодного водопостачання Ду20 – 1 шт. Ремонт системи опалення, підготовка до наступного опалювального сезону, гідравлічні випробування та пред’явлення представникам ЧТЕ. Заміна крану в елеваторному вузлу Ду15 - 1 шт. (Р4), ремонт запірної арматури, засувки Ду80 – 2 шт., крани Ду20 – 5 шт., прочищення гнізд під манометри.  кв.124 – демонтаж прибору опалення. Встановлення нової батареї.  (елеватор) - заміна крану Ду15 – 1 шт., встановлення лампи.  кв.72 – ремонт каналізаційного трубопроводу з частковою заміною, перехід Ду124/110 гумовий, муфта вставна 110, компенсаційний патрубок. кв.130 – усунення протікання води з частковою заміною каналізаційного трубопроводу, компенсаційний патрубок Ду110.   кв.78 – заміна ділянки трубопроводу водовідведення Ду50/1000 – 1 шт., трійник Ду110/50, перехід Ду110/50.  кв.77,78,71 – заміна ділянки каналізаційного трубопроводу через перекриття. Труба Ду110/1500 – 2 шт., Ду110/1000 – 1 шт., Ду110/500 – 4 шт., хрестовина, відвід Ду110/45 – 4 шт., кріплення – 4 шт.. компенсатор, муфта вставна Ду110. кв.104/тех. поверх – заміна ділянки фанової труби Ду110/1500 – 1 шт., Ду110/1000 – 1 шт., муфта Ду110.  Демонтаж та вивіз шин з прибудинкової території.  Фарбування на прибудинкових територіях:  фарбування лавок – 3 шт. Ремонт лав для відпочинку – 1 шт., встановлення рейок – 1 шт. на лавках. Скління: (2 під., маш. відділення) – 0,41 кв.м.  (1 під.) - виготовлення та встановлення пандусу на 1-му поверсі: уголок 35х35 – 5 м.п., проф.труба 20х20 – 5 м.п., 40х20 – 2 м.п., арматура Д12 – 2 м.п., виготовлення та встановлення поручню: труба Ду25 – 3 м.п.   ТО в поверхових щитках підтискання болтових з'єднань; вимір напруги; розподіл навантаження; ізоляція дротів.  ТО обслуговування ВРЩ-0,4кВ заміна ввідного рубильника,  наконечників на ввідних кабелях, кабельного лежаку від ВРЩ до 1 поверху; вимір напруги; розподіл навантаження; ізоляція дротів;  </t>
  </si>
  <si>
    <t xml:space="preserve">кв.110 – усунення протікання холодної води з кв.118, ремонт змивного бачку, заміна клапану.  кв.30 – заміна ділянки трубопроводу холодного водопостачання з кв.30 через перекриття (зварювальні роботи), труба Ду32 - 1,5 м.п.  кв.18,22 – заміна ділянки трубопроводу холодного водопостачання через перекриття Ду32 – 2 м.п., зварювальні роботи.  Зняття глушок  та встановлення лічильників обліку води - 3 шт. та їх опломбування з представниками ЧВК.  кв.72,76 - заміна трубопроводу холодного водопостачання з підвалу в кв.72, та 76 Ду25 – 8 м.п., заміна ввідних кранів Ду20 – 2 шт., демонтаж та встановлення лічильників обліку води.  кв.26,22 – вияснення причини підтоплення та усунення протікання холодної води. Нарізання різьбового з’єднання та перепакування ввідного крану.  кв.133 – усунення протікання холодної води з нарізанням різьбового з’єднання та встановлення крану Ду20 – 1 шт.  (1,2 елеватори) – ремонт системи опалення. Заміна кранів в другому елеваторі Ду15 – 2 шт., по підвалу заміна кранів на стояках Ду25 – 2 шт., ремонт  засувок Ду80 – 2 шт., профілактичне обслуговування кранів по підвалу – 18 шт., гідравлічні випробування та пред’явлення представникам ЧТЕ.  кв.101 – усунення протікання води з радіатору опалення, заміна футорки.  кв.33, Парусна 3,кв.139 – ремонт радіаторів опалення, усунення причини течі. кв.77 – ремонт каналізаційного трубопроводу з частковою заміною. Муфта Ду110, компенсаційний патрубок.  кв.53 – ремонт каналізаційного трубопроводу з частковою заміною фасонних частин, перехід Ду124х110 – 1 шт., муфта Ду110.   кв.72,76 -  заміна каналізаційного трубопроводу через перекриття Ду110 – 6 м.п., трійник, відвід – 2 шт.  кв.93/89 – заміна каналізаційного трубопроводу через перекриття з демонтажем та наступним встановленням унітазу в квартирі № 93. Труба Ду110/2000 – 1 шт., Ду110/1000 – 1 шт., Ду110/250 – 1 шт., муфта Ду110, трійник Ду110/110/90 – 1 шт., коліно Ду110/45.   3 під. – прочистка та ремонт каналізаційного трубопроводу, заміна трубі Ду110/250 – 1 шт.  кв.1 – заміна ділянки каналізаційного трубопроводу. Труба Ду110/1500 – 1 шт., муфта Ду110, ревізія Ду110, диск відрізний.  кв.66 - заміна ділянки каналізаційного трубопроводу через перекриття з тех. поверху (фанова труба) Ду110/1500 – 1 шт., ревізія Ду110. Демонтаж та вивіз шин з прибудинкової території.  Фарбування урн – 8 шт. на загально міських територіях.   Фарбування лавок на прибудинковій території – 10 шт. Ремонт лав для відпочинку – 6 шт., встановлення рейок – 8 шт. на лавках.  Фарбування лавок – 4 шт., фарбування рейок на лавках після їх заміни – 8 шт.  (4 під.) - виготовлення та встановлення пандусу:  проф.труба 20х20 – 10 м.п., 40х20 – 2 м.п., уголок 35х35 – 2 м.п., полоса 40 – 4 м.п., навіс – 2 шт., лист ОSB.  (2 під.) – ремонт трубопроводу внутрішнього водостоку з частковою заміною труби, труба Ду110/1000 – 1 шт., коліно Ду110/45 – 2 шт., муфта Ду110, хомут Ду110 – 2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</si>
  <si>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кв.121 – х/в ремонт врізання до стояка, ремонт труба Ду15 – 0,5 м.п., врізання до стояка Ду15 – 1 шт., ремонт крану кульового Ду15 – 1 шт.  (2 під.) – х/в ремонт ділянки лежака, заміна труба Ду25 – 4 м.п., врізання до лежака Ду25 – 1 шт., заміна крану кульового Ду25 – 1 шт., ремонт труби Ду15 – 0,5 м.п., заміна крану кульового Ду15 – 1 шт.  кв.12 – х/в ремонт врізання до стояка, ремонт труба Ду15 – 0,5 м.п., ремонт врізання до лежака Ду15 – 1 шт., ремонт крану кульового Ду15 – 1 шт.  кв.6 – х/в ремонт ділянки стояка, заміна труби Ду32 – 1,5 м.п., врізання до стояка Ду15 – 1 шт., ремонт крану кульового Ду15 – 1 шт.  кв.63,80 – х/в ремонт ділянки стояка, ремонт труба Ду20 – 0,5 м.п., Ду15 – 1,5 м.п., ремонт крану кульового Ду15 – 2 шт.  кв.79 – х/в ремонт врізання до стояка, ремонт ділянки труби Ду15 – 0,5 м.п., ремонт врізання до стояка  Ду15 – 1 шт., ремонт крану кульового Ду15 – 1 шт.  кв.73 – х/в ремонт врізання до стояка, ремонт ділянки труби Ду15 – 0,5 м.п., ремонт врізання Ду15 – 0,5 м.п., ремонт крану кульового Ду15 – 1 шт.  (1 під.) – х/в ремонт ділянки лежака, ремонт ділянки труби Ду25 – 1,5 м.п., ремонт крану кульового Ду25 – 1 шт.  кв.65 – х/в ремонт врізання до стояка, ремонт ділянки труби Ду25 – 2 м.п., ремонт врізання Ду15 – 0,5 м.п., ремонт крану кульового Ду15 – 1 шт. кв.14 – х/в ремонт врізання ділянки стояка Ду15 – 1 м.п., ремонт врізання Ду15 – 0,5 м.п., ремонт крану кульового Ду15 – 1 шт.  кв.81 – ц/о ремонт врізання до стояка Ду20 – 1 шт., ремонт крану кульового Ду20 – 1 шт.  Ремонт та гідравлічне випробування системи ц/о: заміна ділянки труби Ду80 – 0,5 м.п., Ду76 – 4,5 м.п., Ду57 – 5 м.п., Ду40 – 4 м.п., Ду32 – 5 м.п., Ду25 – 5 м.п., Ду20 – 6 м.п., Ду15 – 7 м.п., заміна засувок Ду80 - 1 шт., заміна кульових кранів Ду50 - 2 шт., Ду40 – 4 шт., Ду32 – 3 шт., Ду25 - 3 шт., Ду20 – 5 шт., Ду15 - 5 шт., прочищення грязевиків – 2 шт. (2 під.) –  ремонт ділянки лежака каналізації,  ремонт труби ПХВДу110 – 0,5 м.п., ремонт муфта вставна Ду110 - 1 шт., ремонт муфта перехід ППРДу110 – 1 шт., ремонт коліно Ду110 - 1 шт.,  ремонт патрубок компенсаційний ППРДу110 – 1 шт.   (1 під.) – ремонт ділянки лежака каналізації ремонт труби ПХВДу110 – 0,5 м.п., ремонт муфта вставна Ду110 - 1 шт., ремонт муфта перехід ППРДу110 – 1 шт., ремонт коліно Ду110 - 1 шт., ремонт патрубок компенсаційний ППРДу110 – 1 шт.   (1 під.) – ремонт ділянки лежака каналізації, ремонт труби ПХВ Ду110 – 0,5 м.п., ремонт муфта вставна Ду110 - 1 шт., ремонт муфта перехід ППРДу110 – 1 шт., ремонт патрубок компенсаційний ППРДу110 – 1 шт.   (2 під.) – ремонт ділянки лежака каналізації, ремонт труби ПХВДу110 – 0,5 м.п., ремонт коліно ППРДу110 – 1 шт., ремонт трійник ППРДу110 – 1 шт., ремонт муфта компенсаційний ППРДу110 – 1 шт.  (підвал, під'їзд 1) – ремонт ділянки лежака каналізації, ремонт труби ПХВ Ду110 – 0,5 м.п.,  ремонт коліно ППР Ду110 - 1 шт., заміна  хрестовини ППРДу110 – 2 шт., ремонт муфта компенсаційний ППРДу110 - 1 шт.  кв.21 – ремонт ділянки стояка каналізації, ремонт труби ПХВДу50 – 0,5 м.п., ремонт коліно ППРДу50 – 1 шт., ремонт трійник ППРДу50 – 1 шт.  (1 під.) – ремонт ділянки лежака каналізації, ремонт труби ПХВДу110 – 0,5 м.п., ремонт трійник ППРДу110 – 1 шт., ремонт коліно ППРДу110 – 1 шт. Поточний ремонт покрівлі: кв.153 – 7 кв.м.  Фарбування (закрашення) написів на фасадах будівель (наркотичних, інформаційних) – 1,5 кв.м., Ремонт вуличних лавок – 2 шт. (рейок – 2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Усунення  наслідків аварій що виниклі внаслідок стабілізаційних відключень електроенергії по місту:  ТО обслуговування ВРЩ-0,4кВ; заміна проводу АПВ 50- 26м; заміна кабельних наконечників: 50 – 6 шт., 70 - 8 шт. заміна тримачів ПН 250А – 2 шт., заміна ПН-100А-250А - 3 шт.; вимір напруги; розподіл навантаження; ізоляція дротів;  </t>
  </si>
  <si>
    <t>Поточний ремонт водостічної системи житлового будинку за адресою: вул. Спортивна, 5 (Ду160 - 139 м.п.) - 113 979,20 грн.</t>
  </si>
  <si>
    <t>(5 під.) – х/в ремонт ділянки лежака, труба Дм.25 – 2 м.п., врізання до лежака Ду25 – 1 шт., ремонт крану кульового Ду25 – 1 шт., заміна труби Ду15 –  0,5 м.п., ремонт крану кульового Ду15 – 1 шт.  кв.10 – х/в ремонт ділянки врізання, ремонт труба Ду15 – 0,5 м.п., ремонт врізання до лежака Ду15 – 1 шт., ремонт крану кульового Ду15 – 1 шт.   (5 під.) – х/в ремонт ділянки лежака, заміна труба Ду32 – 5,5 м.п., Ду25 – 4,5 м.п., Ду20 – 2,5 м.п., врізання до лежака Ду25 – 1 шт., заміна крану кульового Ду25 – 2 шт., Ду20 – 2 шт., Ду15 – 3 шт.   (5 під.) – х/в ремонт ділянки лежака, ремонт труба Ду25 – 0,5 м.п., Ду20 – 0,5 м.п., ремонт крану кульового Ду25 – 1 шт., Ду20 – 1 шт.  (під'їзд 1, кв. 6) - х/в, г/в ремонт ділянки стояка,  ремонт труба Дм 32–  2,50 мт., ремонт крану кульового Ду25 – 1 шт. Ремонт і підготовка до гідравлічного випробування системи ц/о: ремонт ділянки труби Ду57 – 4,5 м.п., Ду25 – 4,5 м.п., Ду20 – 3,5 м.п., заміна засувок Ду50 - 1 шт., ремонт засувок Ду50 - 3 шт., ремонт кранів Ду32 - 2 шт., ремонт вентилів Ду25 – 3 шт., ремонт вентилів Ду20 – 4 шт., заміна кульових кранів Ду20 - 4 шт., Ду15 - 3 шт., прочищення грязевиків – 2 шт.  Ремонт та гідравлічні випробування системи опалення: заміна ділянки труби Ду76 – 4,5 м.п., Ду32 – 4,5 м.п., Ду20 – 3,5 м.п., заміна засувок Ду80 - 1 шт., ремонт засувок Ду80 - 3 шт., ремонт кранів Ду32 - 2 шт., ремонт вентилів Ду25 – 3 шт., ремонт вентилів Ду20 – 4 шт., заміна кульових кранів Ду20 - 4 шт., Ду15 - 3 шт., прочищення грязевиків – 2 шт. кв.86 – ремонт ділянки стояка каналізації ПХВДу110 – 1,5 м.п., муфта Ду110 - 1 шт., коліно ППРДу110 – 1 шт., ремонт патрубок компенсаційний ППР Ду110 - 1 шт.  кв.12 – ремонт ділянки стояка каналізації ПХВДу110 – 1,5 м.п., ремонт муфта вставна Ду110 - 1 шт., ремонт коліно ППРДу110 – 1 шт., ремонт патрубок компенсаційний ППРДу110 - 1 шт.   кв.84 – ремонт ділянки стояка каналізації ПХВДу110 – 0,5 м.п., ремонт муфта вставна Ду110 - 1 шт., ремонт коліно ППР Ду110 - 2шт., ремонт патрубок компенсаційний ППРДу110 - 1 шт.  (6 під.) – ремонт ділянки лежака каналізації, заміна труби ПХВДу110 – 9,5 м.п., заміна ревізія Ду110 - 1 шт., заміна редукція муфта перехід ППРДу110 – 3 шт., заміна трійник ППРДу110 – 2 шт., заміна муфта компенсаційний ППРДу110 – 2 шт.  (5 під.) – ремонт ділянки лежака каналізації, заміна труби ПХВДу110 – 2,5 м.п., заміна муфта перехід ППРДу110 – 1 шт., заміна трійник ППРДу110 – 1 шт., заміна коліно ППРДу110 – 1 шт., ремонт муфта компенсаційний ППРДу110 – 1 шт.   (підвал, під'їзд 2) –  ремонт ділянки лежака каналізації ПХВ Ду110 – 0,5 м.п.,  ремонт трійник ППРДу110 - 1 шт.,  ремонт патрубок компенсаційний ППРДу110 - 1 шт.  (5 під.) – ремонт ділянки лежака каналізації, заміна труби ПХВ Ду110 – 2 м.п., заміна коліно ППР Ду110 – 1 шт., заміна трійник ППРДу110 – 1 шт.   (6 під.) – ремонт ділянки лежака каналізації ПХВДу110 – 1 м.п., ремонт коліно ППРДу110 – 1 шт., ремонт трійник ППРДу110 – 1 шт., ремонт перехід ППРДу110 – 1 шт.   (1 під.) – ремонт ділянки лежака каналізації ПХВДу110 – 0,5 м.п., ремонт муфта ППРДу110 – 1 шт. Ремонт вуличних лавок – 5 шт. (рейок – 36 шт.).  Підрізування дерев та кущів (вишняку). Фарбування (закрашення) написів на фасадах будівель (наркотичних, інформаційних) - 1,0 кв.м.  кв.47 – ремонт водостічного трубопроводу із застосування спеціалізованого автотранспорту Автовишки КП «Зеленгосп».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</si>
  <si>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кв.12 – х/в ремонт врізання до стояка, ремонт труба Ду15 – 0,5 м.п., врізання до стояка Ду15 – 1 шт., ремонт крану кульового Ду15 – 1 шт.  кв.43 – х/в ремонт врізання до стояка, ремонт труба Ду15 – 0,5 м.п., врізання до стояка Ду15 – 1 шт., ремонт крану кульового Ду15 – 1 шт.  кв.16 – х/в ремонт врізання до стояка, ремонт труба Ду15 – 0,5 м.п., ремонт врізання до лежака Ду15 – 1 шт., ремонт крану кульового Ду15 – 1 шт.  кв.22 – х/в ремонт ділянки врізання, ремонт труба Ду15 – 0,5 м.п., ремонт врізання до лежака Ду15 – 1 шт., ремонт крану кульового Ду15 – 1 шт. Встановлення лічильників холодної води для поливу прибудинкових клумб п.2 – 1 шт. (2 під.) – х/в ремонт ділянки лежака, заміна труба Ду32 – 4,5 м.п., Ду25 – 4 м.п., Ду20 – 3,5 м.п., врізання до лежака Ду25 – 1 шт., заміна крану кульового Ду25 – 2 шт., Ду20 – 3 шт., Ду15 – 3 шт.   кв.43 – х/в ремонт врізання до стояка, ремонт труба Ду15 – 0,5 м.п., ремонт врізання до лежака Ду15 – 1 шт., ремонт крану кульового Ду15 – 1 шт.; (4 під.) – х/в ремонт трубопроводу ділянки лежака, заміна труба Ду32 – 2,5 м.п., Ду15 – 1,5 м.п., заміна крану кульового Ду32 – 1 шт., Ду15 – 5 шт.    (підвал, під'їзд  5) – х/в ремонт ділянки лежака, заміна труба Ду32 –  1,5 м.п., Ду15 –  1,5 м.п., заміна крану кульового Ду32 – 1 шт., Ду15 – 1 шт.  кв.21 – х/в ремонт врізання до стояка, ремонт ділянки труби Ду15 – 0,5 м.п., ремонт врізання Ду15 – 0,5 м.п., ремонт крану кульового Ду15 – 1 шт.  кв.62 – х/в ремонт врізання до стояка, ремонт ділянки труби Ду15 – 1 м.п., ремонт врізання Ду15 – 0,5 м.п., ремонт крану кульового Ду15 – 1 шт.  (1 під.) – х/в ремонт трубопроводу ділянки лежака, ремонт ділянки труби Ду25 – 1 м.п., ремонт врізання Ду25 – 0,5 м.п., ремонт крану кульового Ду25 – 1 шт.  кв.12 – х/в ремонт врізання до стояка, ремонт ділянки труби Ду15 – 0,5 м.п., ремонт врізання Дм15 – 0,5 м.п., ремонт крану кульового Ду15 – 1 шт.  (2 під.) – х/в ремонт трубопроводу ділянки лежака водопостачання Ду25 – 1,5 м.п., ремонт врізання Ду25 – 0,5 м.п., ремонт крану кульового Ду25 – 1 шт.  кв.12 – х/в ремонт врізання до стояка, ремонт ділянки труби Ду15 – 1 м.п., ремонт врізання Ду15 – 0,5 м.п., ремонт крану кульового Ду15 – 1 шт.  Ремонт та гідравлічне випробування системи ц/о: ремонт ділянки труби Ду57 – 2,5 м.п., Ду32 – 1,5 м.п., Ду20 – 1,5 м.п., ремонт засувок Ду50 - 3 шт., ремонт кранів Ду32 - 1 шт., ремонт вентилів Ду25 – 1 шт., Ду20 – 1 шт., заміна кульових кранів Ду20 - 1 шт., Ду15 - 2 шт., прочищення грязевиків – 2 шт.  (2 під.) – ремонт ділянки лежака каналізації, заміна труби ПХВДу110 – 4 м.п., заміна муфта Ду110 - 2 шт., заміна трійника ППРДу110 – 2 шт., муфта вставна Ду110 - 3 шт., ревізія ППРДу110 – 1 шт., муфта перехід ППРДу110 – 2 шт., патрубок компенсаційний ППРДу110 – 1 шт.   кв.44 – ремонт ділянки стояка каналізації, ремонт труби ПХВДу110 – 1,5 м.п., ремонт муфта вставна Ду110 - 1 шт., ремонт коліно ППРДу110 – 1 шт., ремонт патрубок компенсаційний ППРДу110 - 1 шт.  (під'їзд 2, кв.43) – ремонт ділянки стояка каналізації ПХВ Ду110 – 0,5 м.п., заміна хрестовини  ППРДу 110 – 1 шт., заміна патрубок компенсаційний ППРДу110 - 1 шт. (підвал, під'їзд 1) – ремонт ділянки лежака каналізації ПХВ Ду110 – 0,5 м.п., ремонт хрестовини ППРДу110 – 1 шт., ремонт патрубок компенсаційний ППРДу110 - 1 шт.  (3 під.) – ремонт ділянки лежака каналізації ПХВДу110 – 0,5 м.п., ремонт муфта ППРДу110 – 1 шт., ремонт патрубок компенсаційний ППРДу110 – 1 шт.  (5 під.) – ремонт ділянки лежака каналізації ПХВДу110 – 0,5 м.п., ремонт коліно ППРДу110 – 1 шт., ремонт трійник ППРДу110 – 1 шт.   (5 під.) – ремонт ділянки лежака каналізації, заміна труби ПХВДу110 – 3,5 м.п., заміна коліно ППРДу110 – 5 шт., заміна муфта перехід ППРДу110 – 2 шт., заміна патрубок компенсаційний ППРДу110 – 1 шт., заміна хрестовина ППРДу110 – 1 шт. (1 під.) – ремонт ділянки лежака каналізації ПХВДу110 – 1,5 м.п., ремонт муфта ППРДу110 – 1 шт., ремонт коліно ППРДу110 – 1 шт.  кв.13 – ремонт ділянки стояка каналізації, ремонт ділянки труби ПХВДу110 – 0,5 м.п., ремонт муфта ППРДу110 – 1 шт., ремонт трійник ППРДу110 – 1 шт.  (3 під.) – ремонт ділянки лежака каналізації ПХВДу110 – 0,5 м.п., ремонт манжет Ду110 –1 шт., ремонт коліно ППРДу110 – 1 шт., ремонт патрубок компенсаційний ППРДу110 - 1 шт., ремонт трійника ППРДу110 – 1 шт. Фарбування (закрашення) написів на фасадах будівель (наркотичних, інформаційних) – 1,3 кв.м.  Ремонт вуличних лавок – 2 шт. (рейок – 4шт.).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</si>
  <si>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(2 під.) – х/в ремонт ділянки лежака, труба Ду32 – 2 м.п., врізання до лежака Ду32 – 3 шт., заміна крану кульового Ду32 – 3шт., заміна труби Ду20 – 1 м.п., заміна крану кульового Ду20 – 1 шт., заміна труби Ду15 – 1,5 м.п., заміна крану кульового Ду15 – 1 шт.   (4 під.) – х/в ремонт ділянки лежака, труба Ду25 – 2 м.п., врізання до лежака Ду25 – 1 шт., ремонт крану кульового Ду25 – 1 шт., заміна труби Ду15 – 1,5 м.п., ремонт крану кульового Ду15 – 1 шт.  кв.26 – х/в ремонт врізання до стояка, ремонт труба Ду15 – 0,5 м.п., ремонт врізання до лежака Ду15 – 1 шт., ремонт крану кульового Ду15 – 1 шт.  (під'їзд 1, кв.13) –  х/в ремонт врізання до стояка, ремонт труба Ду15 – 0,5 м.п., ремонт відсічного крана Ду15 - 1 шт. (2 під.) – х/в ремонт ділянки лежака, ремонт ділянки труби Ду25 – 0,5 м.п., ремонт врізання Ду25 – 0,5 м.п., ремонт крану кульового Ду25 – 1 шт. кв.16 – х/в ремонт врізання до стояка, ремонт ділянки труби Ду15 – 1 м.п., ремонт врізання Ду15 – 0,5 м.п., ремонт крану кульового Ду15 – 1 шт. (3 під.) – х/в ремонт ділянки лежака трубопроводу водопостачання Ду20 – 1,5 м.п., ремонт врізання Ду20 – 0,5 м.п., ремонт крану кульового Ду20 – 1 шт. Ремонт та гідравлічне випробування системи опалення: заміна ділянки труби Ду57 – 2 м.п., Ду40 – 2,5 м.п., Ду32 – 3,5 м.п., заміна засувок Ду50 - 1 шт., ремонт вентилів Ду25 - 1 шт., Ду20 – 1 шт., заміна кульових кранів Ду25 - 1 шт., Ду20 – 2 шт., Ду15 - 5 шт., прочищення грязевиків – 2 шт. (4 під.) – ремонт ділянки лежака каналізації, ремонт труби ПХВДу110 – 0,5 м.п., ремонт трійник ППРДу110 – 1 шт., ремонт муфта перехід ППРДу110 – 1 шт., ремонт патрубок компенсаційний ППРДу110 - 1 шт.; (2 під.) – ремонт ділянки лежака каналізації, ремонт труби ПХВ Ду110 – 0,5 м.п., ремонт коліно ППР Ду110 – 1 шт., ремонт патрубок компенсаційний ППР Ду110 – 1 шт.   (2 під.) – ремонт ділянки лежака каналізації, ремонт труби ПХВДу110 – 1 м.п., ремонт муфта ППРДу110 – 1 шт.   (2 під.) – ремонт ділянки лежака каналізації, ремонт труби ПХВДу110 – 1,5 м.п., ремонт муфта ППРДу110 – 1 шт., ремонт трійник ППРДу110 – 1 шт.  (2 під.) – ремонт ділянки лежака каналізації, ремонт труби ПХВДу110 – 0,5 м.п., ремонт трійник ППРДу110 – 1 шт., ремонт муфта перехід ППРДу110 – 1 шт.   (2 під.) – ремонт ділянки лежака каналізації, заміна труби ПХВДу110 – 4,5 м.п., заміна труби ПХВДу50 – 5,5 м.п., заміна коліно ППРДу50 – 4 шт., заміна муфта Ду110 вставна з PPR HT – 1 шт., заміна манжет Ду50 х72 – 2 шт., заміна трійника ППРДу110 – 8 шт., заміна трійника ППРДу50 – 4 шт., заміна заглушка ППРДу110 – 2 шт., заміна патрубок компенсаційний ППРДу110 - 1 шт., заміна ревізії ППРДу110 - 2 шт.  (4 під.) – ремонт ділянки лежака каналізації, заміна труби ПХВДу110 – 4 м.п., заміна ділянки труби ПХВДу50 – 4 м.п., заміна муфта ППРДу50 – 1 шт., заміна трійника ППРДу110х50 – 1 шт.  (4 під.) – ремонт ділянки лежака каналізації, заміна труби ПХВ Ду110 – 3,5 м.п., заміна муфта Ду110 вставна з PPR HT – 1 шт., заміна манжет Ду50х72 –2 шт., заміна трійника ППРДу110 – 4 шт., заміна заглушка ППР Ду110 – 2 шт., заміна патрубок компенсаційний ППРДу110 - 1 шт.,  заміна ревізії ППРДу110 - 1 шт.  (4 під.) – ремонт ділянки лежака каналізації ПХВДу110 – 0,5 м.п., ремонт трійника ППРДу110 – 1 шт., ремонт коліно ППРДу110 – 1 шт.  (3 під.) – ремонт ділянки лежака каналізації ПХВДу110 – 0,5 м.п., ремонт манжет Ду110 –1 шт., ремонт патрубок компенсаційний ППРДу110 - 1 шт., ремонт трійника ППРДу110 – 1 шт. Поточний ремонт покрівлі: кв.50 – ремонт примикання – 4 м.п., кв.50 – 3 кв.м. Фарбування (закрашення) написів на фасадах будівель (наркотичних, інформаційних) – 2,2 кв.м. Ремонт вуличних лавок – 1 шт. (рейок – 2 шт.). кв.67 – ремонт оголовку вентиляційного каналу, закладання тріщин цементним розчином – 4,2 м.п.  (1 під.) – закріплення почтових скриньок.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</si>
  <si>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кв.66 – х/в ремонт ділянки труби стояка, ремонт труба Ду15 – 0,5 м.п., врізання до стояка Ду15 – 1 шт., ремонт крану кульового Ду15 – 1 шт.   (4 під.) – х/в ремонт ділянки лежака, ремонт труба Ду50 – 1 м.п., ремонт труба Ду25 – 2 м.п., врізання до лежака Ду25 – 1 шт., ремонт крану кульового Ду25 – 1 шт., заміна труби Ду15 – 1,5 м.п., з ремонт крану кульового Ду15 – 1 шт.  кв.36 – х/в ремонт врізання до стояка, врізання труба Ду20 – 2 м.п., заміна труби Ду15 – 0,5 м.п., ремонт крану кульового Ду15 – 1 шт.  кв.63 – х/в ремонт ділянки труби стояка, заміна труби Ду25 – 1,5 м.п., врізання до стояка Ду15 – 1 шт., ремонт крану кульового Ду15 – 1 шт.  (2 під.) – х/в ремонт ділянки лежака, заміна труба Ду25 – 3 м.п., Ду20 – 3 м.п., заміна крану кульового Ду25 – 2 шт., Ду20 – 3 шт., Ду15 – 2 шт.  кв.43 – х/в ремонт врізання до стояка, ремонт ділянки труби Дум15 – 1 м.п., ремонт врізання Ду15 – 0,5 м.п., ремонт крану кульового Ду15 – 1 шт.  кв.18 – х/в ремонт врізання до стояка, ремонт ділянки труби Ду15 – 0,5 м.п., ремонт врізання Ду15 – 0,5 м.п., ремонт крану кульового Ду15 – 1 шт.  кв.31 – х/в ремонт врізання до стояка, ремонт ділянки труби Ду15 – 1 м.п., ремонт врізання Ду15 – 0,5 м.п., ремонт крану кульового Ду15 – 1 шт.  Ремонт та гідравлічне випробування системи опалення: заміна ділянки труби Ду57 –1,5 м.п., Ду40 – 3,5 м.п., Ду32 – 3,5 м.п., труби Ду25 – 3,5 м.п., Ду20 – 2,5 м.п., заміна засувок Ду50 - 2 шт., ремонт вентилів Ду25 - 1 шт., Ду20 – 1 шт., заміна кульових кранів Ду25 - 3 шт., Ду20 – 2 шт., Ду15 - 5 шт., прочищення грязевиків – 2 шт. (4 під.) – ремонт ділянки лежака каналізації ПХВДу110 – 1,5 м.п., муфта Ду110 - 1 шт., ремонт коліно ППРДу110 – 2 шт., ремонт патрубок компенсаційний ППРДу110 - 1 шт.   (4 під.) – ремонт ділянки підключення до лежака каналізації, ремонт труби ПХВДу110 – 0,5 м.п., муфта вставна Ду110 - 1 шт., муфта перехід ППРДу110 – 1 шт., ремонт трійника Ду110 - 1 шт., ремонт патрубок компенсаційний ППРДу110 – 1 шт.  (3 під.) – ремонт ділянки лежака каналізації ПХВДу110 – 0,5 м.п., ремонт ревізія Ду110 - 1 шт., ремонт коліно муфта перехід ППРДу110 – 1 шт., ремонт муфта компенсаційний ППРДу110 – 1 шт. (2 під.) – ремонт ділянки стояка та підключення до лежака каналізації, заміна труби ПХВ Ду110 – 2,5 м.п., коліно ППР Ду110 – 2 шт., трійник ППР Ду110 –1шт., заміна труби ПХВ Ду50 – 2,5 м.п., заміна муфта перехід ППР Ду110х50 – 2 шт., ремонт трійник ППРДу110х50 – 2 шт., ремонт муфта компенсаційний ППРДу110 – 1 шт.; кв.69,65 – ремонт ділянки стояка каналізації, заміна труби ПХВДу110 – 1,5 м.п., заміна коліно ППРДу110 – 2 шт., заміна хрестовини ППРДу110 – 2 шт., заміна труби ПХВДу50 – 1,5 м.п., заміна коліна ППРДу 50 – 6 шт., ремонт муфта компенсаційний ППРДу110 – 1 шт.  кв.65 – ремонт ділянки стояка каналізації ПХВ Ду110 – 0,5 м.п.,  ремонт коліно ППР Ду110 - 1 шт.,  ремонт  трійник ППР Ду110 – 1 шт.,  ремонт патрубок компенсаційний ППР Ду110 - 1 шт.  (2 під.) – ремонт ділянки лежака каналізації ПХВДу110 – 0,5 м.п., ремонт муфта ППРДу110 – 1 шт., ремонт патрубок компенсаційний ППРДу110 – 1 шт.   (2 під.) – ремонт ділянки підключення до лежака каналізації, ремонт труби ПХВДу50 – 1 м.п., ремонт муфта ППРДу50 – 1 шт., ремонт коліно ППРДу50 – 1 шт.  (2 під.) – ремонт ділянки лежака каналізації ПХВДу110 – 1 м.п., ремонт трійника ППРДу110 – 1 шт., ремонт коліно ППРДу110 – 1 шт.  (2 під.) – ремонт ділянки лежака каналізації ПХВДу110 – 1,5 м.п., ремонт муфта ППРДу110 – 1 шт., ремонт коліно ППРДу110 – 1 шт.  (6 під.) – ремонт ділянки лежака каналізації ПХВДу110 – 0,5 м.п., ремонт муфта ППРДу110 – 1 шт., ремонт коліна ППРДу110 – 1 шт.  кв.68,64 – ремонт ділянки стояка каналізації, ремонт труби ПХВДу110 – 1,5 м.п., ремонт манжет Ду110 х127 –1 шт., ремонт трійника ППРДу110 – 1 шт., ремонт патрубок компенсаційний ППР Ду110 - 1 шт., ремонт ревізії ППРДу110 - 1 шт.  (2 під.) – ремонт люку виходу на дах, заміна навісів – 2 шт. Фарбування (закрашення) написів на фасадах будівель (наркотичних, інформаційних) – 4,5 кв.м. Фарбування вуличних лавок – 2 шт. Прочищення водозливних труб з даху будинку.  По кв.19 – прочищення водоприймальної воронки та водостічної труби.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</si>
  <si>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кв.6,10 – ремонт ділянки стояка каналізації, заміна труби ПХВДу110 – 6 м.п., муфта вставна Ду110 - 2 шт., заміна хрестовини Ду110 - 2 шт., заміна коліно ППРДу110 – 4 шт., муфта перехід ППРДу110 – 2 шт., ревізія ППРДу110 – 2 шт., редукція ППРДу110 – 4 шт., заміна трійник ППРДу110 - 5 шт., заміна патрубок компенсаційний ППРДу110 - 2 шт.   (4 під.) – х/в ремонт ділянки лежака, труба Ду57 – 3,5 м.п., врізання до лежака Ду50 – 2 шт., заміна труби Ду25 – 3 м.п., заміна крану кульового Ду25 – 1 шт., заміна труби Ду15 – 0,5 м.п., заміна крану кульового Ду15 – 1 шт.   кв.63 – х/в ремонт врізання до стояка, заміна труба Ду15 – 0,5 м.п., заміна врізання до стояка Ду15 – 1 шт., заміна крану кульового Ду15 – 1 шт.  кв.62 – х/в ремонт ділянки стояка, ремонт труби Ду25 – 0,5 м.п., ремонт врізання до стояка Ду15 – 1 шт., ремонт крану кульового Ду15 – 1 шт.  (4 під.) – х/в ремонт ділянки лежака, заміна труба Ду25 – 3,5 м.п., врізання до лежака Ду25 – 1 шт., заміна крану кульового Ду25 – 1 шт.; (5 під.) – х/в ремонт ділянки лежака, заміна труба Ду50 – 0,5 м.п., заміна врізання до лежака Ду15 – 4 шт., заміна крану кульового Ду15 – 4 шт.    (підвал, під'їзд 3)  ––    х/в ремонт ділянки лежака, заміна труба Ду 25 –  1,5 м.п., Ду20 –  0,5 м.п., Ду 15 – 1,5 м.п., заміна крану кульового Ду20 – 2 шт., Ду15 – 2 шт.  (1 під.) – х/в ремонт ділянки лежака ремонт труба Ду25 – 1,5 м.п., Ду20 –  0,5 м.п., ремонт крану кульового Ду25 – 1 шт., Ду20 – 1 шт.  кв.58 – х/в ремонт врізання до стояка, ремонт ділянки труби Ду15 – 0,90 м.п., ремонт врізання Ду15 – 0,50 м.п., ремонт крану кульового Ду15 – 1 шт.  Ремонт і гідравлічне випробування системи ц/о: заміна ділянки труби Ду76 – 4 м.п., Ду57 – 5,5 м.п., Ду40 – 4,5 м.п., Ду32 – 5,5 м.п., Ду25 – 5 м.п., Ду20 – 6,5 м.п., Ду15 – 7,5 м.п., заміна засувок Ду80 - 2 шт., Ду50 - 3 шт., ремонт вентилів Ду25 - 2 шт., заміна кульових кранів Ду32 – 3 шт., Ду25 - 4 шт., Ду20 – 6 шт., Ду15 - 8 шт., прочищення грязевиків – 2 шт.  (5 під.) – ремонт ділянки лежака каналізації ПХВДу110 – 0,5 м.п., муфта Ду110 - 1 шт., коліно ППРДу110 – 1 шт., патрубок компенсаційний ППРДу110 - 1 шт.  (6 під.) – ремонт ділянки лежака каналізації ПХВДу110 – 6 м.п., заміна трійника Ду110 - 4 шт., перехід ППРДу110 – 1 шт., заміна коліно ППРДу110 - 4 шт.  кв.146 – ремонт ділянки стояка каналізації ПХВДу110 – 0,50 м.п., ремонт коліно ППРДу110 – 1 шт., ремонт патрубок компенсаційний ППРДу110 - 1 шт.    (5 під.) – ремонт ділянки лежака каналізації ПХВДу110 – 3,5 м.п., ремонт ревізія Ду110 - 1 шт., ремонт коліно муфта перехід ППРДу110 – 2 шт., ремонт трійник ППРДу110 – 2 шт., ремонт муфта компенсаційний ППРДу110 – 1 шт.  кв.94 – ремонт ділянки стояка каналізації ПХВ Ду110 – 0,5 м.п., ремонт муфта перехід ППР Ду110 – 1 шт., ремонт трійник ППР Ду110 – 1 шт., ремонт коліно ППР Ду110 – 1 шт., ремонт муфта компенсаційний ППР Ду110 – 1 шт.   (під'їзд 1, кв. 16) –  ремонт ділянки стояка каналізації,  заміна труби ПХВ Ду110 – 1,5 м.п.,  заміна коліно ППР Ду110 - 2 шт.,  заміна  хрестовини ППР Ду110 – 2шт.,  ремонт муфта компенсаційний ППР Ду110 - 1 шт.  (підвал, під'їзд 4) – ремонт ділянки лежака каналізації ПХВ Ду110 – 1 м.п.,  ремонт  муфта ППР Ду110 – 1 шт.,  ремонт патрубок компенсаційний ППР Ду110 - 1 шт.  (6 під.) – ремонт ділянки лежака каналізації ПХВДу110 – 0,5 м.п., ремонт трійника ППРДу110 – 1 шт., ремонт муфта перехід ППРДу110х50 – 1 шт.  (6 під.) – ремонт ділянки лежака каналізації ПХВДу110 – 0,5 м.п., ремонт муфта ППР Ду110 – 1 шт.   (2 під.) - ремонт дверей входу до під’їзду.  Фарбування (закрашення) написів на фасадах будівель (наркотичних, інформаційних) – 1,9 кв.м. (торець 1п.),   Фарбування стойок на білизняних майданчиках – 4 шт.  Фарбування вуличних урн – 1 шт. внутрішньо дворових.  Фарбування елементів внутрішньо дворових дитячих майданчиків  – 1 шт.  (6 під.) – заміна водостічної труби – 10 м.п., воронки, коліна з 5 по 1 поверхи (з використанням автовишки Зеленгосп).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</si>
  <si>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(2 під.) – х/в ремонт ділянки лежака, ремонт труби Ду32 – 0,5 м.п., врізання до стояка Ду20 – 1 шт., ремонт крану кульового Ду20 – 1 шт. (4 під.) – х/в ремонт ділянки лежака, ремонт труба Ду32 – 2 м.п., врізання до лежака Ду32 – 4 шт., крану кульового Ду32 – 4 шт., труба Ду40 – 1,5 м.п., врізання до лежака Ду40 – 2 шт., заміна крану кульового Ду40 – 2 шт., заміна труби Ду15 – 1,5 м.п., заміна крану кульового Ду15 – 2 шт.    (5 під.) – х/в ремонт ділянки лежака, труба Ду25 – 2 м.п., врізання до лежака Ду25 – 1 шт., ремонт крану кульового Ду25 – 1 шт., заміна труби Ду15 – 0,5 м.п., ремонт крану кульового Ду15 – 1 шт.    кв.46 – х/в ремонт врізання до стояка, ремонт труба Ду15 – 0,5 м.п., ремонт врізання до лежака Ду15 – 1 шт., ремонт крану кульового Ду15 – 1 шт.  кв.58 – х/в ремонт врізання до стояка, ремонт ділянки труби Ду15 – 0,5 м.п., ремонт врізання Ду15 – 0,5 м.п., ремонт крану кульового Ду15 – 1 шт.   кв.58 – х/в ремонт врізання до стояка, ремонт ділянки труби Ду15 – 0,5 м.п., ремонт врізання Ду15 – 0,5 м.п., ремонт крану кульового Ду15 – 1 шт.  кв.18 – х/в ремонт врізання до стояка, ремонт ділянки труби Ду15 – 1 м.п., ремонт врізання Ду15 – 0,5 м.п., ремонт крану кульового Ду15 – 1 шт.  (3 під.) – х/в ремонт ділянки лежака водопостачання Ду32 – 1,5 м.п., ремонт врізання Ду32 – 0,5 м.п., ремонт крану кульового Ду32 – 1 шт.  (3 під.) – х/в ремонт ділянки лежака водопостачання, ремонт ділянки труби Ду25 –  1,5 м.п., заміна ремонт врізання Ду25 – 0,5 м.п., ремонт крану кульового Ду25 – 1 шт.  Ремонт і підготовка до гідравлічного випробування системи ц/о: ремонт ділянки труби Ду57 – 1,5 м.п., Ду25 – 1,5 м.п., Ду20 – 1 м.п., ремонт засувок Ду50 - 3 шт., ремонт кранів Ду32 - 1 шт., ремонт вентилів Ду25 – 1 шт., Ду20 – 1 шт., заміна кульових кранів Ду20 - 6 шт., Ду15 - 4 шт., прочищення грязевиків – 2 шт. (5, 6 під.) – ремонт ділянки лежака каналізації, заміна труби ПХВДу110 – 5 м.п., муфта вставна Ду110 - 3 шт., заміна хрестовини Ду110 - 4 шт., заміна коліно ППРДу110 – 1 шт., муфта перехід ППРДу110 – 3 шт., заміна трійника Ду110 - 4 шт., ревізія ППР Ду110 – 3 шт., редукція ППРДу110 – 3 шт., заміна патрубок компенсаційний ППРДу110 - 2 шт.   кв.17 – ремонт ділянки стояка каналізації ПХВДу110 – 0,5 м.п., ремонт муфта вставна Ду110 - 1 шт., ремонт коліно ППРДу110 - 1шт., редукція ППРДу110 – 1 шт., ремонт патрубок компенсаційний ППР Ду110 - 1 шт.   (2 під.) – ремонт ділянки лежака каналізації ПХВДу110 – 0,5 м.п., ремонт муфта вставна Ду110 - 1 шт., ремонт коліно ППРДу110 – 1 шт., ремонт трійник ППРДу110 - 1 шт., ремонт патрубок компенсаційний ППРДу110 - 1 шт.  (5 під.) – ремонт ділянки лежака каналізації ПХВДу110 – 0,5 м.п., ремонт коліно ППРДу110 – 1 шт., ремонт патрубок компенсаційний ППРДу110 - 1 шт.   (3 під.) – ремонт ділянки лежака каналізації ПХВДу110 – 0,5 м.п., ремонт трійник ППРДу110 – 1 шт., ремонт муфта компенсаційний ППРДу110 – 1 шт.   (підвал, під'їзд  4) – ремонт ділянки лежака каналізації ПХВ Ду110 – 0,5 м.п.,  ремонт коліно ППР Ду110 - 1 шт.,  ремонт патрубок компенсаційний ППР Ду110 - 1 шт.  (підвал, під'їзд 5) – ремонт ділянки лежака каналізації ПХВДу110 – 1 м.п.,  ремонт  коліно  ППРДу110 – 1 шт.  кв.19 – ремонт ділянки стояка каналізації, ремонт труби ПХВДу110 – 0,5 м.п., ремонт муфта ППРДу110 – 1 шт., ремонт патрубок компенсаційний ППРДу110 – 1 шт.   (2 під.) – ремонт ділянки лежака каналізації труби ПХВ Ду110 – 0,5 м.п., ремонт муфта ППР Ду110 – 1 шт., ремонт патрубок компенсаційний ППРДу110 – 1 шт.   (3 під.) – ремонт ділянки лежака каналізації ПХВ Ду110 – 1 м.п., ремонт перехід ППРДу110 – 1 шт.  (3 під.) – ремонт ділянки лежака каналізації ПХВ Ду110 – 1 м.п., ремонт перехід  ППР Ду110 – 1 шт.   (5 під.) – ремонт ділянки лежака каналізації ПХВ Ду110 – 1,5 м.п., ремонт муфта ППРДу110 – 1 шт., ремонт трійник ППРДу110 – 1 шт.   (5 під.) – ремонт ділянки лежака каналізації ПХВДу110 – 0,5 м.п., заміна коліно ППРДу110 – 6 шт., заміна заглушка ППРДу110 – 5 шт., ремонт патрубок компенсаційний ППРДу110 - 1 шт., ремонт перехід ППРДу110 – 1 шт.  (3 під.) – ремонт ділянки лежака каналізації, заміна труби ПХВДу110 – 5 м.п., заміна ділянки труби ПХВДу50 – 8 м.п., заміна трійника ППРДу110 – 4 шт., заміна трійника ППРДу110х50 – 3 шт., заміна ревізія ППРДу110 – 1 шт., заміна патрубок компенсаційний ППРДу110 – 1 шт., заміна муфта перехід ППРДу50 – 1 шт.  (3 під.) – ремонт ділянки лежака каналізації, заміна ділянки труби ПХВДу110 – 2,5 м.п., заміна муфта Ду110 вставна з PPR HT – 1 шт., заміна манжет Ду110 – 1 шт., заміна трійника ППРДу110 – 2 шт.  (6 під.) – ремонт ділянки лежака каналізації ПХВДу110 – 0,5 м.п., ремонт муфта ППРДу110 – 1 шт., ремонт коліно ППРДу110 – 1 шт.  (2 під.) – ремонт ділянки лежака каналізації ПХВДу110 – 0,5 м.п., ремонт манжет Ду110 – 1 шт., ремонт патрубок компенсаційний ППРДу110 - 1 шт., ремонт трійника ППРДу110 – 1 шт.  (2п.) – ремонт ділянки лежака каналізації ПХВДу110 – 0,5 м.п., ремонт манжет Ду110 – 1 шт., ремонт патрубок компенсаційний ППРДу110 - 1 шт., ремонт трійника ППРДу110 – 1 шт.  Фарбування (закрашення) написів на фасадах будівель (наркотичних, інформаційних) – 1,5 кв.м., (1,2 під.) – благоустрій, облаштування майданчика для сушіння білизни, зварювальні роботи з ремонту металевих конструкцій – 10 шт., встановлення тросу 2/3 – 150 м.п., встановлення хомута кріплення – 8 шт.  Фарбування (закрашення) написів на фасадах будівель (наркотичних, інформаційних) - 0,5 кв.м.  На дитячому майданчику ремонт гойдалки, заміна підшипників. (4п.) – ремонт цоколю – 2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</si>
  <si>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Поточний ремонт, заміна безтраншейним способом випуску госфекальної каналізації за адресою вул. Спортивна, 10 (1 під.) Ду110 – 5 м.п. (20 311,42 грн.).  </t>
  </si>
  <si>
    <t xml:space="preserve">кв.66 – х/в ремонт врізання до стояка, ремонт труба Ду15 – 0,5 м.п., врізання до стояка Ду15 – 1 шт., ремонт крану кульового Ду15 – 1 шт.  кв.44 – х/в ремонт врізання до стояка, ремонт труба Ду15 – 0,5 м.п., врізання до стояка Ду15 – 1 шт., ремонт крану кульового Ду15 – 1 шт.   (2 під.) – х/в ремонт ділянки лежака, труба Ду50 – 1 м.п., врізання до лежака Ду50 – 1 шт., заміна крану кульового Ду50 – 1 шт., труба Ду40 – 1,5 м.п., врізання до лежака Ду40 – 2 шт., заміна труби Ду20 – 2 м.п., заміна крану кульового Ду20 – 3 шт., Ду40 – 2 шт., заміна труби Ду25 – 3 м.п., заміна крану кульового Ду25 – 3 шт., заміна труби Ду15 – 2,5 м.п., заміна крану кульового Ду15 – 3 шт. (2 під.) – х/в ремонт ділянки лежака, заміна труба Ду25 – 3,5 м.п., врізання до лежака Ду25 – 1 шт., заміна крану кульового Ду25 – 1 шт.   (2 під.) – х/в ремонт ділянки лежака, заміна труба Ду50 – 5,5 м.п., Ду25 – 1,5 м.п., заміна крану кульового Ду25 – 1 шт., Ду20 – 1 шт.  (під'їзд 2, кв.62) – х/в ремонт врізання до стояка, ремонт труба Ду15 – 0,5 м.п., ремонт крану кульового Ду15 – 1 шт.  (1 під.) – х/в ремонт ділянки лежака, ремонт труба Ду25 – 1,5 м.п., Ду20 – 0,5 м.п., ремонт крану кульового Ду25 – 1 шт., Ду20 – 1 шт.  кв.38 – х/в ремонт врізання до стояка, ремонт ділянки труби Ду15 – 0,5 м.п., ремонт врізання Ду15 – 0,5 м.п., ремонт крану кульового Ду15 – 1 шт.  (2 під.) – х/в ремонт ділянки лежака трубопроводу водопостачання Ду25 – 1,5 м.п., ремонт врізання Ду25 – 0,5 м.п., ремонт крану кульового Ду25 – 1 шт.  кв.26 – х/в ремонт врізання до стояка, ремонт ділянки труби Ду15 – 1 м.п., ремонт врізання Ду15 – 0,5 м.п., ремонт крану кульового Ду15 – 1 шт. Ремонт та гідравлічні випробування системи опалення: заміна ділянки труби Ду76 – 3,5 м.п., Ду25 – 3,5 м.п., заміна засувок Ду80 - 1 шт., ремонт кранів Ду32 - 2 шт., ремонт вентилів Ду25 - 4 шт., Ду20 – 3 шт., заміна кульових кранів Ду32 - 1 шт., Ду25 - 2 шт., Ду20 - 3 шт., Ду15 - 4 шт., прочищення грязевиків – 2 шт. кв.12 – ремонт ділянки стояка каналізації ПХВДу50 – 0,5 м.п., муфта Ду50 - 1 шт., коліно ППР Ду50 – 1 шт., ремонт патрубок компенсаційний ППР Ду50 - 1 шт.   кв.16 – ремонт ділянки стояка каналізації ПХВДу110 – 0,5 м.п., ремонт муфта вставна Ду110 - 1 шт., ремонт муфта ППРДу110 – 1 шт., редукція ППРДу110 – 1 шт., ремонт трійник ППРДу110 - 1 шт., ремонт патрубок компенсаційний ППРДу110 - 1 шт.  (1 під.) – ремонт ділянки лежака каналізації, заміна труби ПХВДу110 – 8,5 м.п., заміна ревізія Ду110 - 1 шт., муфта вставна Ду110 - 2 шт., заміна трійник ППРДу110 – 2 шт., муфта перехід ППРДу110 – 1 шт., редукція ППРДу110 – 3 шт., заміна патрубок компенсаційний ППРДу110 – 1 шт.   кв.7 – ремонт ділянки стояка каналізації ПХВДу110 – 3 м.п., заміна редукція ППРДу110 – 1 шт., ремонт коліно ППРДу110 –1 шт., ремонт муфта перехід ППР Ду110 – 1 шт., ремонт патрубок компенсаційний ППРДу110 - 1 шт. кв.7 – ремонт ділянки стояка каналізації ПХВДу110 – 1,5 м.п., ремонт коліно муфта перехід ППРДу110 – 1 шт., ремонт трійник ППРДу110 – 1 шт., ремонт муфта компенсаційний ППРДу110 – 1 шт.    (2 під.) – ремонт ділянки лежака каналізації, ремонт труби ПХВ Ду110 – 0,5 м.п., ремонт муфта перехід ППР Ду110 – 1 шт., ремонт трійник ППРДу110 – 1 шт., ремонт муфта компенсаційний ППР Ду110 – 1 шт.   кв.12 – ремонт ділянки стояка каналізації, ремонт труби ПХВДу110 – 0,5 м.п., ремонт коліно ППРДу110 – 1 шт., заміна муфта перехід ППРДу110 – 1 шт.  (2 під.) – ремонт ділянки лежака каналізації ПХВ Ду110 – 0,5 м.п., ремонт коліно ППРДу110 – 1 шт., ремонт перехід ППРДу110 – 1 шт.   кв.9 – ремонт ділянки стояка каналізації ПХВДу110 – 1,0 м.п., ремонт хрестовина ППРДу110 – 1 шт., ремонт патрубок компенсаційний ППРДу110 – 1 шт.  (1 під.) – ремонт ділянки лежака каналізації, заміна труби ПХВДу110 – 3 м.п., заміна муфта Ду110 вставна з PPR HT – 1 шт., заміна манжет Ду110х127 – 1 шт., заміна коліно ППРДу110 – 6 шт., заміна заглушка ППРДу110 – 4 шт., заміна хрестовина ППРДу110 – 3 шт.  кв.9,13 – ремонт ділянки стояка каналізації, заміна труби ПХВ Ду110 – 4,5 м.п., заміна труби ПХВ Ду50 – 7,5 м.п., заміна коліно ППРДу110х50 – 2 шт., заміна трійник ППРДу50 - 3 шт., ремонт перехід муфта ППРДу110х50 – 1 шт.  (2 під.) – ремонт ділянки лежака каналізації ПХВДу110 – 1 м.п., ремонт муфта ППРДу110 – 1 шт., ремонт коліно ППРДу110 – 1 шт.  Поточний ремонт покрівлі: (2 під.-л/кл) – 1 кв.м. Ремонт вуличних лавок – 1 шт. (рейок – 3 шт.); на дитячому майданчику заміна цепів на гойдалці.  (1, 2 під.) – ремонт козирків над входами до під’їздів, штукатурка – 2,5 кв.м., шпаклівка.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</si>
  <si>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 – х/в ремонт врізання до стояка, ремонт труба Ду15 – 0,5 м.п., врізання до стояка Ду15 – 1 шт., ремонт крану кульового Ду15 – 1 шт.  кв.36 – х/в ремонт ділянки врізання, ремонт труба Ду15 – 0,5 м.п., ремонт врізання до лежака Ду15 – 1 шт., ремонт крану кульового Ду15 – 1 шт.   кв.54 – х/в ремонт ділянки стояка, ремонт труба Ду25 – 0,5 м.п., Ду15 – 0,5 м.п., ремонт крану кульового Ду15 – 1 шт.  Ремонт та гідравлічне випробування системи ц/о: заміна ділянки труби Ду89 – 2 м.п., Ду32 – 2,5 м.п., заміна засувок Ду80 - 2 шт., ремонт засувок Ду80 -2 шт., ремонт вентилів Ду32 - 2 шт., Ду20 – 3 шт., заміна кульових кранів Ду32 - 1 шт., Ду20 -3 шт., кранів Ду15 - 4 шт., прочищення грязевиків – 2 шт. кв.56 – ремонт ділянки стояка каналізації ПХВ Ду110 – 1,5 м.п., ремонт муфта ППР Ду110 – 1 шт., ремонт трійник ППР Ду110 – 1 шт.  Поточний ремонт покрівлі: кв.63 – закладення зазору між мет. відливом та цегляною кладкою – 25 м.п. Ремонт вуличних лавок – 6 шт. (рейок – 15 шт.).  На дитячому майданчику ремонт каруселі, електрозварювальні роботи. Встановлення лави для відпочинку (б/у), встановлення урни для сміття.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</si>
  <si>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кв.185 – х/в ремонт ділянки стояка, ремонт врізання до стояка, ремонт труба Ду15 – 0,5 м.п., врізання до стояка Ду15 – 1 шт., ремонт крану кульового Ду15 – 1 шт.   кв.185 – х/в ремонт ділянки стояка Ду32 – 2 м.п., Ду15 – 0,5 м.п., врізання до стояка Ду15 – 1 шт., ремонт крану кульового Ду15 –1 шт.   кв.22 – х/в ремонт врізання до стояка, врізання до стояка Ду15 – 2 м.п., заміна труби Ду15 – 0,5 м.п., ремонт крану кульового Ду15 – 1 шт.  Встановлення лічильників холодної води для поливу прибудинкових клумб  п.3. (6 під.) – х/в встановлення лічильників холодної води для поливу, врізання до лежака Ду32 – 1 шт., встановлення муфти МП МРЗ Ду20х1/2 – 2 шт., встановлення лічильника Ду15 – 1 шт., встановлення комплекту до лічильника Ду15 – 1 шт., встановлення клапана зворотного Ду15 – 1 шт., встановлення фільтру Ду15 – 1 шт., встановлення хомута с дюбелем и шпилькою Ду15 – 2 шт., встановлення ніпель бочонка Ду15 – 1 шт., встановлення крану кульового Ду15 – 2 шт.   кв.183 – х/в ремонт ділянки стояка Ду15 – 0,5 м.п., ремонт відсічного крана Ду15 - 1 шт.  кв.291 – х/в ремонт ділянки стояка Ду15 – 0,5 м.п., ремонт врізання до стояка Ду15 – 1 шт., ремонт крану кульового Ду15 – 1 шт.  кв.311 – х/в ремонт ділянки стояка Ду25 – 0,5 м.п., ремонт крану кульового Ду15 – 1 шт. (2 під.) – х/в ремонт ділянки лежака Ду25 – 1,5 м.п., ремонт крану кульового Ду25 – 1 шт. кв.22 – х/в ремонт ділянки стояка Ду32 – 1,5 м.п., ремонт крану кульового Ду15 – 1 шт.  (8 під.) – х/в ремонт ділянки лежака Ду25 – 0,5 м.п., ремонт крану кульового Ду25 – 1 шт.  кв.292 – х/в ремонт ремонт ділянки труби Ду15 – 0,5 м.п., ремонт врізання Ду15 – 0,5 м.п., ремонт крану кульового Ду15 – 1 шт.   кв.362 – х/в ремонт ділянки стояка Ду32 – 1,5 м.п., Ду15 – 1 м.п., ремонт врізання Ду25 – 0,5 м.п., ремонт крану кульового Ду15 – 1 шт. (1 ел.) – ремонт та гідравлічне випробування системи ц/о: ремонт ділянки труби Ду57 – 1,5 м.п., Ду25 – 3,5 м.п., заміна засувок Ду50 - 2 шт., ремонт кранів Ду32 - 2 шт., ремонт вентилів Ду25 - 4 шт., Ду20 - 3 шт., заміна кульових кранів Ду20 - 1 шт., Ду15 -2 шт., прочищення грязевиків – 2 шт. (2 ел.) – рремонт та гідравлічне випробування системи ц/о: ремонт ділянки труби Ду89 – 1,5 м.п., Ду57 – 3,5 м.п., заміна засувок Ду80 - 2 шт., ремонт засувок Ду50 - 3 шт., ремонт кранів Ду32 - 1 шт., ремонт вентилів Ду25 - 1 шт., ремонт вентилів Ду20 – 2 шт., заміна кульових кранів Ду20 - 2 шт., Ду15 - 3 шт., прочищення грязевиків – 2 шт.  (3 ел.) – ремонт та гідравлічне випробування системи ц/о: ремонт ділянки труби Ду57 – 0,5 м.п., Ду20 – 4,5 м.п., ремонт засувок Ду50 - 2 шт., ремонт кранів Ду32 - 2 шт., ремонт вентилів Ду25 - 4 шт., Ду20 – 4 шт., заміна кульових кранів Ду20 - 1 шт., Ду15 - 2 шт., прочищення грязевиків – 2 шт. (4 ел.) – ремонт та гідравлічне випробування системи ц/о: ремонт ділянки труби Ду76 – 1,5 м.п., Ду32 – 3,5 м.п., ремонт засувок Ду50 - 3 шт., ремонт кранів Ду32 - 2 шт., ремонт вентилів Ду25 - 4 шт., Ду20 – 3 шт., заміна кульових кранів Ду20 - 3 шт., Ду15 - 4 шт., прочищення грязевиків – 2 шт. (5 ел.) – ремонт та гідравлічне випробування системи ц/о: ремонт ділянки труби Ду89 – 0,5 м.п., Ду40 – 3,5 м.п., заміна засувок Ду100 - 2 шт., ремонт кранів Ду40 -2 шт., ремонт вентилів Ду25 - 1 шт., Ду20 – 2 шт., заміна кульових кранів Ду20 - 3 шт., Ду15 - 4 шт., прочищення грязевиків – 2 шт.  ремонт і підготовка до гідравлічного випробування системи ц/о: (ел.№6, 6 під.) - ремонт ділянки труби Ду57 – 1,5 м.п., Ду25 – 3,5 м.п., заміна засувок Ду50 - 2 шт., ремонт кранів Ду32 - 2 шт., ремонт вентилів Ду25 - 4 шт., ремонт вентилів Ду20 – 3 шт., заміна кульових кранів Ду32 - 1 шт., Ду25 - 2 шт., Ду20 - 3 шт., Ду15 - 5 шт., прочищення грязевиків – 2 шт. (ел.№7, 7 під.) - ремонт ділянки труби Ду89 – 1,5 м.п., Ду57 – 3,5 м.п., заміна засувок Ду80 - 2 шт., ремонт засувок Ду50 - 3 шт., ремонт кранів Ду32 - 1 шт., ремонт вентилів Ду25 - 1 шт., Ду20 – 2 шт., заміна кульових кранів Ду32 - 1 шт., Ду25 - 2 шт., Ду20 - 3 шт., Ду15 - 4 шт., прочищення грязевиків – 2 шт. (ел.№ 8, 8 під.) – ремонт ділянки труби Ду57 – 0,5 м.п., Ду20 – 4,5 м.п., заміна  засувок Ду50 - 2 шт., ремонт засувок Ду50 -2 шт., ремонт кранів Ду32 - 2 шт., ремонт вентилів Ду25 - 4 шт., Ду20 – 4 шт., заміна кульових кранів Ду32 - 1 шт., Ду25 - 2 шт., Ду20 - 3 шт., Ду15 - 5 шт., прочищення грязевиків – 2 шт.   (1 під.) – ремонт ділянки лежака каналізації,  ремонт труби ПХВДу110 – 0,5 м.п., муфта Ду110 - 1 шт., перехід  ППРДу110 – 1 шт., ремонт коліно ППРДу110 - 1 шт.   (8 під.) – ремонт ділянки лежака каналізації, заміна труби ПХВДу110 – 1,5 м.п., муфта вставна Ду110 - 1 шт., заміна хрестовини Ду110 - 1 шт., муфта ППРДу110 – 1 шт., редукція ППРДу110 – 1 шт., заміна трійник ППР Ду110 - 1 шт., заміна патрубок компенсаційний ППРДу110 - 1 шт.   (8 під.) – ремонт ділянки лежака каналізації, ремонт труби ПХВДу110 – 1,5 м.п., муфта вставна Ду110 - 1 шт., ремонт хрестовини Ду110 - 1 шт., муфта ППРДу110 – 1 шт., редукція ППРДу110 – 1 шт., ремонт трійник ППРДу110 - 1 шт., ремонт патрубок компенсаційний ППРДу110 - 1 шт.   (8 під.) – ремонт ділянки лежака каналізації, заміна труби ПХВДу110 – 2,5 м.п., муфта вставна Ду110 - 1 шт., заміна коліно ППРДу110 – 2 шт., муфта перехід ППРДу110 – 1 шт., заміна трійника Ду110 - 1 шт., редукція ППРДу110 – 1 шт., заміна патрубок компенсаційний ППРДу110 - 1 шт.  (1 під.) – ремонт ділянки лежака каналізації ремонт труби ПХВДу110 – 1,5 м.п., ремонт муфта вставна Ду110 - 1 шт., ремонт муфта перехід ППРДу110 - 1шт., ремонт патрубок компенсаційний ППРДу110 – 1 шт.   (8 під.) – ремонт ділянки лежака каналізації, заміна труби ПХВДу110 – 2,5 м.п., муфта вставна Ду110 - 1 шт., заміна коліно ППРДу110 – 1 шт., муфта перехід ППРДу110 – 1 шт., заміна трійника Ду110 - 1 шт., редукція ППРДу110 – 1 шт., заміна патрубок компенсаційний ППРДу110 – 1 шт., хомут мет. дм. 110 мм. – 4 шт.   кв.313 – ремонт ділянки стояка каналізації, ремонт труби ПХВДу110 – 0,5 м.п., ремонт трійник ППРДу110 – 1 шт., ремонт муфта перехід ППРДу110 – 1 шт., ремонт патрубок компенсаційний ППРДу110 - 1 шт.   кв.14, 20 – ремонт ділянки стояка каналізації, заміна труби ПХВДу50 – 5,5 м.п., ремонт муфта вставна Ду50 - 1 шт., ремонт коліно ППРДу50 – 2 шт., ремонт патрубок компенсаційний ППРДу50 - 1 шт.   (7 під.) – ремонт ділянки лежака каналізації, заміна труби ПХВДу110 – 3,5 м.п., заміна муфта перехід ППРДу110 – 1 шт., заміна трійник ППРДу110 – 1 шт., заміна коліно ППРДу110 – 2 шт., ремонт муфта компенсаційний ППРДу110 – 2 шт.  (6 під.) – ремонт ділянки лежака каналізації, ремонт труби ПХВДу110 – 0,5 м.п., ремонт муфта перехід ППРДу110 – 1 шт., ремонт муфта компенсаційний ППРДу110 – 1 шт.; (1 під.) – ремонт ділянки лежака каналізації, ремонт труби ПХВ Ду110 – 0,5 м.п., ремонт коліно ППР Ду110 – 1 шт., ремонт трійник ППРДу110 – 1 шт., ремонт патрубок компенсаційний ППР Ду110 – 1 шт. (підвал, під'їзд 8) ––  ремонт ділянки лежака каналізації,  ремонт труби ПХВ Ду110 – 0,5 м.п.,  ремонт коліно ППР Ду110 - 1 шт.,  ремонт патрубок компенсаційний ППР Ду110 - 1 шт.  (підвал, під'їзд 3) – ремонт ділянки лежака каналізації, ремонт труби ПХВ Ду110 – 0,5 м.п.,  ремонт  трійник ППР Ду110 – 1 шт.,  ремонт патрубок компенсаційний ППР Ду110 - 1 шт.  (2 під., укриття) – каналізація ремонт обладнання, заміна комплекту до фаянсового бачка унітазу з бічним підключенням –1 шт., заміна сифону до умивальника – 1 шт.  кв.18 – ремонт ділянки стояка каналізації труби ПХВДу110 – 0,5 м.п., ремонт муфта ППР Ду110 – 1 шт., ремонт патрубок компенсаційний ППРДу110 – 1 шт.  кв.201 – ремонт ділянки стояка каналізації труби ПХВ Ду110 – 0,5 м.п., ремонт муфта ППР Ду110 – 1 шт., ремонт патрубок компенсаційний ППР Ду110 – 1 шт.   (4 під. укриття) – ремонт, заміна обладнання каналізації, заміна унітаза Компакт – 1 шт.  (3 під.) – ремонт ділянки лежака каналізації ПХВДу110 – 0,5 м.п., ремонт муфта ППРДу110 – 1 шт., ремонт коліна ППРДу110 – 1 шт.  Поточний ремонт покрівлі: кв.147 – на горище закладання зазору навколо зливоприймальної воронки (піна),  кв.148 – 3 кв.м., кв.344 – 7 кв.м. Фарбування вуличних лавок – 3 шт.  (8 під.) - виготовлення та встановлення металевого поручню із застосуванням ручного інструменту та зварки, труба Ду25 – 1,5 м.п. Перенос проводу у ліфтовій шахті (АВВГ 4х10 - 10м, монтаж клемної коробки та клемного з’єднання та підключення до рубильника у ліфтової).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Відновлення освітлення біля 4-5 під’їздів. (2п.) – відновлення освітлення підвалу.  
</t>
  </si>
  <si>
    <t xml:space="preserve">(2 під.) - заміна трубопроводу водопостачання Ду57 - 2,0 м.п.   кв.117 - заміна крана кульового Ду15 – 1 шт. на трубопроводі водопостачання.   кв.83 - заміна трубопроводу водопостачання Ду25 - 1,0 м.п., заміна крану Ду15 – 1 шт.   (7 під.) - заміна частки трубопроводу водопостачання Ду25 - 1,0 м.п., заміна крану кульового Ду25 - 1 шт.  (5під.) – 1 шт. - зняття заглушок на трубопроводі холодного водопостачання, встановлення лічильників обліку води та їх опломбування фахівцями ЧВК.  Встановлення лічильників для поливу 1 під.  кв.34 - заміна пошкодженого трубопроводу водопостачання Ду15 - 0,5 м.п., кран кульовий Ду15 – 1 шт.  (8п.) - встановлення та опломбування лічильників  на поливальних трубопроводах.  (6п.) – замін трубопроводу водопостачання Ду50 -1,5 м.п. Встановлення ремкомплектів на трубопроводах г/води: (5 під.) Ду76 - 1 шт.,  (5 під.), Ду40 – 1 шт., (4п.) Ду32 - 1 шт.   Ремонт та гідравлічне випробування системи опалення: ремонт засувок Ду80 – 2 шт., Ду50 - 4 шт.,  ремонт кранів Ду20 - 17 шт., Ду15 - 9 шт., заміна кранів кульових Ду15 - 2 шт., Ду20 - 3 шт., заміна заглушек «на збросніках» стояків Ду25 - 5 шт., Ду15 - 4 шт., заміна трубопроводу Ду40 - 2 м.п., Ду15 - 1 м.п., кран кульовий Ду15 - 2 шт., згін Ду15 - 2 шт.  (7 під.) - заміна пошкодженого падаючого трубопроводу опалення Ду89 - 1,0 м.п.  кв.83 – заміна трубопроводу водовідведення Ду110 - 0,5 м.п., трійник Ду110/50 – 1 шт.  (1 під.) - заміна пошкодженого трубопроводу каналізації Ду110 - 0,3 м.п, муфта Ду110 - 1 шт., заглушка Ду110 - 1 шт.   кв.15 - заміна пошкодженого трубопроводу каналізації Ду110 - 2,5 м.п., компенсатор Ду110 - 1 шт., муфта перехідна Ду110/110 -1 шт., перехід Ду124/110 – 1 шт., кріплення д/труб Д110 - 2 шт.  Встановлення заглушок на каналізаційних трубопроводах: (7під.) Ду110 – 1 шт. Поточний ремонт покрівлі: кв.20 – 5 кв.м. Ремонт дверей і люків входу до підпілля (4п.) - куток 35х35 - 1,0 м.п., встановлення замку - 1 шт.   (4 під.) - ремонт дверей входу до підпілля і встановлення замка на вхід в підпілля - 1 шт. /ел. зварювання/.  Фарбування лавок прибудинкові – 16 шт.  Ремонт лавок прибудинкові – 3 шт. (рейок – 4 шт.).  Фарбуванні майданчиків для білизни.   (8 під.) - ремонт огорожі газону /ел. зварювання/.   Зафарбування написів наркотичного змісту на фасадах будинків – 2 кв.м. кв.129 – ремонт штукатурки фасаду - 1 кв.м., з використанням автовишки Зеленгосп. 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</si>
  <si>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"Поточний ремонт, заміна випуску госпфекальної каналізації за адресою:м. Чорноморськ, вул. Паркова, 6 (6, 7, 8 під.)" Ду110 – 24 м.п. (95 221,97 грн.).  </t>
  </si>
  <si>
    <t>(3під.) - заміна трубопроводу водопостачання Ду57 - 2,0 м.п., кран кульовий Ду25 – 1 шт.  (5 під.) - заміна пошкодженого трубопроводу водопостачання Ду25 - 2,0 м.п., кран кульовий Ду25 - 1 шт.  (6 під.) - заміна пошкодженого трубопроводу х/водиДу50 - 6,5 м.п.  (6 під.) – ремонт поливального трубопроводу, заміна крана кульового Ду15 – 1 шт.  (5 під.) - заглушили стояк г/води Ду25 – 1 шт., сварка.  Встановлення ремкомплектів на трубопроводах г/води (4під.) Ду40 – 1 шт.,  (5 під.) Ду50 - 1 шт., Ду25 – 1 шт. (7під.) - встановлення ремкомплекту на трубопроводі опалення Ду50 - 1 шт. Ремонт та гідравлічне випробування системи опалення: ремонт засувок Ду80 - 4 шт., Ду50 - 5 шт., ремонт кранів Ду20 - 39 шт., Ду15 - 5 шт., заміна «заглушок» на збросниках стояків Ду15 - 7 шт., Ду20 – 10 шт., заміна кранів кульових Ду15 - 3 шт., Ду20 - 2 шт., часткова заміна трубопроводу Ду50 - 3 м.п., Ду15 - 2 м.п.;  заміна засувки на трубопроводі опалення Ду50 - 1 шт. Встановлення на «збросниках» опалення кранів кульових (1 під.) Ду15 – 1 шт., (3 під.) Ду15 – 1 шт.  Заміна кранів кульових на стояках опалення кв.115 Ду15 – 1 шт. кв.124/120 – заміна пошкодженого трубопроводу водовідведення Ду110 - 4,0 м.п., хрестовина Ду110/110х90 – 1 шт., компенсатор Ду110 – 1 шт., муфта Ду110 – 1 шт., коліно Ду110х15*- 1 шт., коліно Ду110х22*- 1 шт., коліно Ду110х30*- 1 шт., перехід Ду110/124 – 1 шт.   Встановлення каналізаційних заглушек (3 п.) Ду110 – 1 шт.  кв.117 - заміна пошкодженого трубопроводу водовідведення Ду110 - 1,0 м.п., муфта Ду110 - 1 шт., ревізія Ду110 - 1 шт.  кв.76 - заміна пошкодженого трубопроводу водовідведення Ду110 - 2,0 м.п.   (5 під) - прочищення та заміна пошкодженого трубопроводу водовідведення Ду110 - 0,5 м.п., муфта Ду110 - 1 шт.  Встановлення заглушок на трубопроводах каналізації - 3п. - 1шт.  Встановлення каналізаційних заглушок (7 під.) Ду110 – 2шт.  (5 під.) – часткова заміна трубопроводу водовідведення Ду110 – 0,5 м.п., куток Ду110\45 – 2 шт. по підвалу.  (2 під.) – ремонт, часткова заміна трубопроводу водовідведення Ду110 – 0,5 м.п. по підвалу, прочищення трубопроводу водовідведення з розбіркою трубопроводу.   кв.89 - заміна пошкодженого трубопроводу каналізації Ду110 - 0,3 м.п., трійник Ду110/50х45 - 1 шт.  (3 під.) - заміна пошкодженого трубопроводу каналізації Ду110 - 1,0 м.п., ревізія Ду110 - 1 шт., перехід Ду110/124 - 1 шт.   Встановлення «заглушок» на каналізаційні трубопроводи (7 під.) Ду110 - 1 шт.  Встановлення замків (4п.) – підвал – 1 шт.  (4 під.) - ремонт дверей входу в підпілля ел. зварювання. Фарбування лавок прибудинкові – 16 шт. Ремонт лавок прибудинкові – 1 шт. (рейок – 1 шт.).  Фарбування елементів на дитячому майданчику. Фарбуванні майданчиків для білизни. Зафарбовування написів на фасадах будинків - 5,0 кв.м. 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</si>
  <si>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кв.46 - заміна  врізання до трубопроводу водопостачання Ду15 - 0,5 м.п.  (2 під.) - монтаж поливального трубопроводу труба МТП 16х2мм - 14,0 м.п., кран кульовий Ду15 - 1 шт., муфта Ду16х1/2* - 2 шт., коліно Ду½* - 2 шт., лічильник – 1 шт., фільтр Ду15 – 1 шт, приєднувальний комплект Ду15 - 1 шт.; (майстерня) – заміна лічильників водопостачання – 3 шт., кран поливальний Ду15 – 2 шт. Встановлення ремкомплектів на трубопроводах г/води (2 під.) Ду40 - 1 шт. , (1 під.) Ду63 - 1 шт.  Ремонт та підготовка до гідравлічного випробування системи опалення: ремонт засувок Ду80 - 2 шт., Ду50 - 3 шт., ремонт кранів Ду25 - 4 шт., Ду20 - 5 шт., Ду15 - 4 шт., заміна кранів Ду25 - 3 шт., Ду20 - 3 шт., Ду15 - 2 шт., заміна  трубопроводу на технічному поверху Ду20 - 5,0 м.п., 1 під.- ремонт повітрязбірника - 1 шт. /ел.зварювання/.  Ремонт та гідравлічне випробування системи опалення: ремонт повітрязбірника - різьба коротка Ду20 – 1 шт., кран кульовий Ду20 - 1 шт., заміна трубопроводу Ду20 - 1,0 м.п., кран кульовий Ду15 - 2 шт., заміна кранів Ду15 - 2 шт., Ду25 - 1 шт.  Демонтаж «врезок» - 2 шт. трубопроводів скидання повітря з системи опалення на технічному поверсі. (1під.) - ремонт лавки встановлення розпоров між стойками труба Ду25 - 1,5 м.п., квадрат 10х10 - 1,5 м.п., ел. зварювання.   Ремонт лавок прибудинкові – 5 лавок (9 рейок), на дитячому майданчику ремонт горки (встановлення дер.планок).  Фарбування лавок прибудинкові – 12 шт. Фарбування елементів дитячих майданчиків.  Фарбування альтанки. Ремонт дерев’яної огорожі клумби.  На дитячому майданчику демонтаж гойдалки для ремонту в РБД, заміна підшипників, встановлення гойдалки після ремонту в РБД, електрозварювальні роботи. (1 під.) – демонтаж пандусу на 1 поверсі в під’їзді по зверненню мешканців.  (1п.) – ремонт ганку, відновлення 4-х плиток облицювання. (2 під.) – на технічному поверсі заміна пошкодженого трубопроводу зливової каналізації Ду110 - 9,0 м.п., Хрестовина Ду110х45 - 1 шт., перехід Ду124х110 – 2 шт., коліно Ду110х45 – 6 шт., муфта перехідна Ду110х110 – 1 шт.   Заміна світильників у майстерні ЖЕД-2 – 18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Відновлення живлення у майстерні ЖЕД-2.  </t>
  </si>
  <si>
    <t xml:space="preserve">кв.63 - встановлення крана кульового на трубопроводі водопостачання Ду15 – 1 шт.   кв.34 - заміна пошкодженого трубопроводу водопостачання Ду15 - 0,5 м.п., кран кульовий Ду15 - 1 шт.  кв.1 - заміна пошкодженого трубопроводу х/води Ду25 - 1,0 м.п.  Встановлення ремкомплектів на трубопроводах г/води:  (2під.) Ду50 – 1 шт., (3 під.) Ду80 – 1 шт., (4 під.) Ду32 - 1 шт. Ремонт та гідравлічне випробування системи опалення, ремонт засувок Ду80 - 5 шт., Ду50 - 3 шт., ремонт кранів Ду20 - 22 шт., Ду15 - 8 шт., заміна «заглушек» на збросниках стояків Ду15 - 2 шт.  Заміна кранів кульових на стояках опалення кв.12/34 Ду15 - 1 шт. Заміна пошкодженого трубопроводу водовідведення Ду110 - 0,3 м.п., ревізія Ду110 - 1 шт.  (3 під.) - заміна пошкодженого трубопроводу водовідведення Ду110 - 2,0 м.п,, трійник Ду110х45 – 1 шт., муфта Ду110 – 1 шт.  (4 під.) - заміна пошкодженого трубопроводу водовідведення Ду50 - 1,5 м.п., перехід Ду110/50 – 1 шт.   (3 під.) - заміна пошкодженого трубопроводу каналізації Ду50 - 1,5 м.п.  (2 під.) - заміна пошкодженого трубопроводу водовідведення Ду110 - 1,5 м.п., компенсатор Ду110 – 1 шт., трійник Ду110х45 – 1 шт. кв.34/30 - заміна пошкодженого трубопроводу водовідведення Ду110 – 2 м.п., перехід Ду110/90 -1 шт., компенсатор – 1 шт., тройник Ду110/90 -1 шт. (4 під.) - заміна пошкодженого трубопроводу каналізації Ду110 – 0,5 м.п., муфта Ду110 - 1 шт.   кв.30 - заміна пошкодженого трубопроводу каналізації Ду110 - 1,0 м.п., муфта Ду110 - 1 шт. (3 під.) - заміна пошкодженого трубопроводу каналізації Ду50 - 1,0 м.п., коліно Ду50х45 - 1 шт., муфта Ду50 - 1 шт.  Встановлення заглушек на трубопроводу водовідведення (3 під.) Ду110 – 1 шт. (3 під.) - ремонт дверей входу в підпілля з встановленням замку – 1 шт., ел. зварювання. Фарбування лавок прибудинкові – 13 шт. Фарбування урн (прибудинкові) – 9 шт. Зафарбовування наркотичних написів на фасадах ж/будинків – 2 кв.м. 1під. 1-ий поверх - заміна трубопроводу зливової каналізації  Ду110 - 2,0 м.п., коліно Ду110х45 - 2 шт., ревізія Ду110 - 1 шт., перехід гумовий Ду124/110 - 1 шт. (1 під.) - очищення зливового трубопроводу в підпіллі.  Відновлення освітлення елеваторного вузла.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</si>
  <si>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Капітальний ремонт елеваторного вузла, заміна насосу центрального опалення житлового будинку за адресою: Одеська область, м. Чорноморськ, вул. Олександрійська, 10 (1 елеватор) - 73 512 грн. </t>
  </si>
  <si>
    <t xml:space="preserve">кв.150 – заміна крану на трубопроводі холодного водопостачання Ду20 – 1 шт.   кв.10 - заміна ввідного крану Ду20 – 1 шт. на трубопроводі холодного водопостачання.   кв.123 – заміна ввідного крану на трубопроводі холодного водопостачання Ду20 – 1 шт.   кв.206 - ремонт трубопроводу холодного водопостачання з заміною ділянки труби Ду20 - 0,5 м.п.  кв.101 – усунення протікання холодної води з встановленням рем комплекту Ду32.    Зняття глушок  та встановлення лічильників обліку води та їх опломбування з представниками ЧВК. кв.201 – усунення протікання холодної води з перепакуванням ввідного крану Ду20.  кв.27 – заміна ввідного крану на трубопроводі холодного водопостачання Ду20 – 1 шт.  кв.115,119,123 - усунення протікання холодної води з заміною шлангів до пральної машини.  кв.78 - заміна ввідного крану Ду15 – 1 шт. на трубопроводі холодного водопостачання з демонтажем та наступним встановленням лічильнику обліку води.  кв.149 – ремонт трубопроводу холодного водопостачання з частковою заміною, труба Ду32 – 1 м.п.  кв.108 – заміна ввідного крану водопостачання на квартиру Ду15 – 1 шт., з демонтажем та встановленням лічильнику. кв.4 – заміна ввідного крану водопостачання на квартиру Ду15 – 1 шт., з демонтажем та встановленням лічильнику.  кв.90 – заміна ввідного крану на квартиру Ду15 – 1 шт., з демонтажем та встановленням лічильнику.  кв.50 – заміна врізки на трубопроводі холодного водопостачання Ду20 - 0,5 м.п., зварювальні роботи.  кв.33 - усунення протікання холодної води з частковою заміною труби холодної води Ду20 - 0,5 м.п.  кв.193 – вияснення причини залиття квартири № 189, та усунення аварійної ситуації. Заміна шлангу до унітазу.  кв.106,102 – усунення протікання холодної води з встановленням шлангів до змішувача.  кв.152 - ремонт бачка, заміна шлангу до бачка.  кв.109 – демонтаж старого змішувача та встановлення нового, заміна ввідного крану на трубопроводі холодного водопостачання Ду15 – 1 шт.  кв.136 – ремонт трубопроводу холодного водопостачання з встановленням рем комплекту Ду25.  кв.110 – ремонт трубопроводу центрального опалення з заміною кранів (американки).  кв.80 – усунення протікання води з радіатору системи опалення, демонтаж секції.   (1 елеватор) - демонтаж елеваторного вузлу для збільшення розмірів сопла по рекомендації ЧТЕ з 8мм до 9мм з наступним встановленням та заміною болтів на засувках ( 4шт).  (1 елеватор) – заміна рециркуляційного насосу на трубопроводі центрального опалення при підготовці будинку до опалювального сезону. Болт М16 – 8 шт., гайка М16 – 8 шт., технічна резина, підключення насосу до мережі.   Ремонт системи опалення: ремонт засувок - 3 шт., ревізія кранів - 12 шт., гідравлічні випробування  та пред’явлення представникам ЧТЕ ( два елеватори).  кв.146 – заміна ділянки трубопроводу ц/о до радіатору Ду20 - 0,5 м.п.  кв.120 – заміна трубопроводу до радіатору опалення Ду20 - 0,5 м.п., згін Ду20 ( зварювальні роботи).  (підвал під кв.108) – встановлення крану Ду15 – 1 шт. на трубопроводі центрального опалення. кв.212,208 – ремонт каналізаційного трубопроводу з встановленням бандажу.  кв.186 – ремонт каналізаційного трубопроводу з встановленням бандажу.  кв.102,106 – заміна ділянки каналізаційного трубопроводу зі зняттям унітазів, труба Ду110/1000 – 1 шт. Поточний ремонт покрівлі: кв.212 – 4 кв.м., кв.68, 69 – 10 кв.м., кв.143 – 30 кв.м.; (4 під.) – 10 кв.м., облаштування додаткової зливової воронки на даху будинку з пробиттям перекриття на техповерх і з'єднанням з трубопроводом внутрішнього водостоку. кв.142, 33, 34, 35 – 12 кв.м.,  кв.142 – 3 кв.м.   (6 під.) – благоустрій клумби та обрізання кущів (китайська роза).  (6під.) – встановлення огорожі, закриття зеленої зони від паркування машин (зварювальні роботи), труба профільна 40х20 – 2 м.п.   Фарбування урн – 4 шт. на прибудинковій території.  Фарбування лавок на прибудинковій території  Олександрійська 10, 12, Захисників України 13  – 29 шт. + 7 шт.  (фарбування 2 рази, з зеленої в коричневу). Фарбування урн на прибудинкових територіях – 11 шт. (перекрасили з зелених) – 2 рази покриття.  Ремонт лав для відпочинку  – 2 шт. (рейок – 4 шт.), на спортивному майданчику улаштування покриття з тротуарної плитки – 2,5 кв.м. На спортивному майданчику ремонт мет. огорожі, електрозварювальні роботи.   (6 під.) - встановлення фанери в вентиляційні вікна підвалу 1,3х0,32 – 3 шт.  (4 під.) – ремонт трубопроводу внутрішнього водостоку з встановленням трійника Ду110/110/90, труба Ду110/1000 – 1 шт., коліно Ду110/45, труба Ду110/500 – 5 шт.  (1 під., перший поверх/підвал) – заміна ділянки трубопроводу зливної каналізації через перекриття, труба Ду110/2000, Ду110/500, Ду110/1000, хомут Ду110 – 3 шт., відвід Ду110/45, диск відрізний Д125.  (6 під., між кв.181,185) – заміна ділянки трубопроводу зливної каналізації. Труба Ду110/1500 – 2 шт., герметик, перехід Ду110/124, муфта Ду110, компенсатор, диск відрізний.  (6 під.) – заміна трубопроводу зливної каналізації через перекриття (кв.181,185). Труба Ду110/1500 – 1 шт., Ду110/500 – 1 шт., компенсатор, муфта Ду110, герметик, диск відрізний, хомут + дюбель.   Аварійні роботи: ТО у поверховому щитку підтискання болтових з'єднань; вимір напруги; розподіл навантаження; ізоляція дротів. ТО обслуговування ВРЩ-0,4кВ заміна ввідних рубильників – 2 шт., заміна ПН 250 – 3 шт.;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</si>
  <si>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Поточний ремонт, заміна трубопроводів каналізації за адресою: м. Чорноморськ, вул. Олександрійська, 22 (2,3 під.) Ду110 – 22 м.п. (69 569,52 грн.).  </t>
  </si>
  <si>
    <t xml:space="preserve">кв.103 – усунення протікання холодної води, нарізання різьбового з’єднання та встановлення  ввідного крану Ду20 – 1 шт.  кв.35 – заміна ввідного крану Ду15 – 1 шт. на трубопроводі холодного водопостачання.  кв.55 – усунення протікання холодної води з заміною сифону під мийкою.   (2 під.) – встановлення прибору обліку холодної води для поливу клумб, лічильник Ду15, осадовий фільтр, приєднувальний клапан.   кв.50 – усунення течі, нарізання різби на трубопроводі х/води та встановлення лічильника та вентиля. Ду15 – 1 шт.  кв.80 - ремонт трубопроводу холодного водопостачання з заміною трійника Ду20.  кв.51 – усунення протікання холодної води з демонтажем та наступним встановленням унітазу, заміною фасонних частик(гофра, коліно Ду110/45).  Ремонт та гідравлічні випробування системи опалення, ремонт засувок – 2 шт., ревізія кранів – 6 шт., гідравлічні випробування з представниками ЧТЕ. Заміна трубопроводу водовідведення по підвалу Ду110 – 46 м.п., заміна фасонних частин (підрядчик).  кв.58,59,54 - заміна каналізаційного трубопроводу через перекриття, хрестовина Ду110/110/110,90, муфта вставна, перехід Ду110/124, перехід Ду124/110, компенсаційний патрубок 110, труба Ду110/1000 – 1 шт., Ду110/2000 – 1 шт.   кв.80 - ремонт каналізаційного стояку по кухні з заміною трійника Ду110/110/50. кв.76/80 – заміна ділянки каналізаційного трубопроводу через перекриття. Труба 110/1500 – 1 шт., трійник Ду110/110/45, муфта вставна, коліно Ду110/45, компенсатор Ду110.  (підвал 2 під.) – встановлення заглушки Ду100 – 1 шт. на каналізаційному трубопроводі. Фарбування на прибудинкових територіях:  фарбування елементів дитячого майданчику (паровоз, качелі – 2 шт., карусель).   (1 під.) – демонтаж металевих конструкцій.  Ремонт лав  – 3 шт. (рейок – 5 шт.).  Фарбування металевої огорожі при вході в укриття та майстерню, фарбування даху над огорожею (96 кв.м.).  (майстерня ) – ремонт підлоги після заміни каналізаційного трубопроводу  підсипання піском, цементна стяжка  - 6 кв.м.   (укриття) – встановлення та закріплення перегородок, після факту вандалізму. Встановлення електричних ламп в укритті (2шт.).  (майстерня) – заміна вимикачів е/е – 2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</si>
  <si>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(3 під.) – х/в ремонт ділянки лежака ремонт труби Ду25 – 0,5 м.п., ремонт крану кульового Ду25 – 1 шт., ремонт врізання до стояка Ду25 – 1 шт.  (2 під.) – х/в ремонт ділянки лежака, ремонт труби Ду25 – 0,5 м.п., врізання до стояка Ду25 – 1 шт., ремонт крану кульового Ду25 – 1 шт.   Встановлення лічильників – 1 шт. холодної води для поливу прибудинкових клумб за адресою (8 під.).  (підвал, під'їзд 4)  –  х/в ремонт ділянки лежака, ремонт труба Ду32 – 1,5 м.п., ремонт труба Дм 15 – 0,5 м.п., ремонт крану кульового Ду32 – 1 шт., ремонт крану кульового Ду15 – 1 шт.  (4 під.) – х/в ремонт ділянки лежака труба Ду25 – 1,5 м.п., труба Ду20 – 0,5 м.п., ремонт крану кульового Ду25 – 1 шт., Ду20 – 1 шт.  кв.52 – х/в ремонт врізання до стояка, ремонт ділянки труби Ду15 – 0,5 м.п., ремонт врізання Ду15 – 0,5 м.п., ремонт крану кульового Ду15 – 1 шт.  кв.20 –  х/в ремонт врізання до стояка, ремонт ділянки труби Ду15 – 0,5 м.п., ремонт врізання Ду15 – 0,5 м.п., ремонт крану кульового Ду15 – 1 шт.  Ремонт і підготовка до гідравлічного випробування системи ц/о: заміна ділянки труби Ду57 – 2,50 м.п., Ду40 – 2 м.п., Ду32 – 3 м.п., ремонт засувок Ду50 - 2 шт., ремонт кульових кранів Ду32 - 1 шт., Ду25 - 1 шт., Ду20 - 3 шт., заміна кульових кранів Ду20 - 6 шт., Ду15 - 5 шт., прочищення грязевиків – 2 шт. кв.17 - ремонт ділянки стояка каналізації ПХВДу110 – 1 м.п., ремонт муфти перехід ППРДу110 - 1 шт., ремонт компенсатор ППРДу110 - 1 шт.  (3 під.) –  ремонт ділянки лежака каналізації, заміна труби ПХВДу110 – 1,5 м.п., муфта Ду110 - 1 шт., патрубок компенсаційний ППРДу110 – 1 шт., заміна коліно ППРДу110 - 1 шт.   кв.38,41 – ремонт ділянки стояка каналізації, заміна труби ПХВДу110 – 4,5 м.п., муфта вставна Ду110 - 2 шт., заміна хрестовини Ду110 - 2 шт., заміна коліно ППРДу110 – 2 шт., перехід ППРДу110 – 2 шт., ревізія  ППРДу110 – 1 шт., редукція ППРДу110 – 2 шт., заміна патрубок компенсаційний ППРДу110 - 2 шт. (5 під.) – ремонт ділянки лежака каналізації ПХВДу110 – 0,5 м.п., ремонт муфта вставна Ду110 - 1 шт., ремонт коліно ППРДу110 – 1 шт., ремонт муфта перехід ППРДу110 – 1 шт., ремонт патрубок компенсаційний ППРДу110 - 1 шт.  кв.3 – ремонт ділянки стояка каналізації, ремонт труби ПХВДу110 – 1,5 м.п., ремонт муфта вставна Ду110 - 1 шт., ремонт коліно ППРДу110 – 1 шт., ремонт патрубок компенсаційний ППРДу110 - 1 шт.  кв.69 – ремонт ділянки стояка каналізації, заміна труби ПХВДу50 – 3,5 м.п., ремонт коліно ППРДу50 – 1 шт., ремонт патрубок компенсаційний ППРДу50 - 1 шт. (2 під.) – ремонт ділянки стояка підключення до лежака каналізації, заміна труби ПХВ Ду50 – 5,5 м.п., заміна муфта перехід ППР Ду110х50 – 2 шт., ремонт трійник ППР Ду110х50 – 2 шт., ремонт муфта компенсаційний ППР Ду110 – 2 шт. (підвал, під'їзд 4) – ремонт ділянки лежака каналізації ПХВ Ду110 – 1 м.п.,  ремонт коліно ППРДу110 – 1 шт., ремонт патрубок компенсаційний ППРДу110 - 1 шт. кв.50 – ремонт ділянки стояка каналізації ПХВДу50 – 1,5 м.п., ремонт коліно ППРДу50 – 1 шт., ремонт муфта перехід ППРДу50 – 1 шт.  (5 під.) – ремонт ділянки лежака каналізації, ремонт труби ПХВДу110 – 1 м.п., ремонт муфта ППР Ду110 – 1 шт., ремонт коліно ППРДу110 – 1 шт.  (5 під.) – ремонт ділянки лежака каналізації ПХВДу110 – 0,5 м.п., ремонт манжет Ду110х127 – 1 шт., ремонт трійника ППРДу110 – 1 шт., ремонт заглушка ППРДу110 – 1 шт., заміна патрубок компенсаційний ППРДу110 - 1 шт., ремонт ревізії ППРДу110 - 1 шт.  Фарбування (закрашення) написів на фасадах будівель (наркотичних, інформаційних):  1 кв.м. (торець 1п.),  Фарбування вуличних урн – 5 шт. Фарбування вуличних лавок - 14 шт. внутрішньо дворових. Фарбування дворових поручнів – 10 шт. Фарбування (закрашення) написів на фасадах будівель (наркотичних, інформаційних) - 0,4 кв.м. Усунення  наслідків аварії що виникла внаслідок стабілізаційних відключень електроенергії по місту (ТО обслуговування ВРЩ-0,4кВ; заміна тримачів ПН, заміна ПН-100А-250А; відновлення живлення від ВРЩ-0,4кВ до поверхових щитків; вимір напруги; розподіл навантаження; ізоляція дротів);  Усунення  наслідків аварій що виниклі внаслідок стабілізаційних відключень електроенергії по місту: ТО обслуговування ВРЩ-0,4кВ; заміна тримачів заміна ПН-100А-250А - 3 шт.; вимір напруги; розподіл навантаження; ізоляція дротів;</t>
  </si>
  <si>
    <t xml:space="preserve">(1 під.) – х/в ремонт ділянки лежака, труба Ду25 – 3 м.п., врізання до лежака Ду25 – 4 шт., заміна крану кульового Ду25 – 4 шт., заміна труби Ду20 – 3 м.п., заміна крану кульового Ду20 – 6 шт., заміна труби Ду15 – 2,5 м.п., заміна крану кульового Ду15 – 5 шт.   Встановлення лічильників холодної води для поливу прибудинкових клумб   п.3. (3 під.) – х/в ремонт ділянки лежака, заміна труба Ду25 – 3,5 м.п., врізання до лежака Ду25 – 1 шт., заміна крану кульового Ду25 – 1 шт., ремонт труби Ду15 – 0,5 м.п., заміна крану кульового Ду15 – 1 шт.  (5 під.) – х/в ремонт ділянки лежака, ремонт ділянки труби Ду25 – 0,5 м.п., ремонт крану кульового Ду25 – 1 шт.  (5 під.) – х/в ремонт ділянки лежака, ремонт ділянки труби Ду25 - 0,5 м.п., ремонт врізання труби Ду25 – 0,5 м.п., ремонт крану кульового Ду25 – 1 шт.  Ремонт та гідравлічне випробування системи ц/о: заміна ділянки труби Ду57 – 1,5 м.п., Ду40 – 2,5 м.п., Ду32 – 1 м.п., Ду20 – 4 м.п.,  ремонт засувок Ду50 - 2 шт., ремонт кульових кранів Ду32 - 1 шт., ремонт кульових кранів Ду25 - 1 шт., ремонт кульових кранів Ду20 - 3 шт.,  заміна кульових кранів Ду20 - 8 шт., Ду15  - 8 шт., прочищення грязевиків – 2 шт. (1 під.) – ремонт ділянки лежака каналізації, заміна труби ПХВДу110 – 1,5 м.п., муфта вставна Ду110 - 1 шт., заміна коліно ППРДу110 – 1 шт., муфта перехід ППРДу110 – 1 шт., редукція ППР Ду110 – 1 шт., заміна патрубок компенсаційний ППРДу110 - 1 шт.; (2 під.) – ремонт ділянки лежака каналізації, заміна труби ПХВДу110 – 1,5 м.п.,  заміна муфта перехід ППРДу110 – 1 шт.,  заміна хрестовини ППРДу110 – 2 шт., заміна коліно ППРДу110 – 2 шт., ремонт муфта компенсаційний ППРДу110 – 2 шт. (6 під.) – ремонт ділянки лежака каналізації, заміна ділянки труби ПХВДу110 – 3,5 м.п., заміна муфта Ду110 вставна з PPR HT – 1 шт., заміна манжет Ду110 – 1 шт., заміна патрубок компенсаційний ППРДу110 - 2 шт., заміна трійника ППРДу110 – 2 шт.   (5 під.) – ремонт дверей входу до під’їзду, електрозварювальні роботи.  Фарбування (закрашення) написів на фасадах будівель (наркотичних, інформаційних) – 1,5 кв.м. (торець 6п.).  Фарбування вуличних лавок - 8 шт. внутрішньо дворових.   Фарбування дворових поручнів – 5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Усунення  наслідків аварій що виниклі внаслідок стабілізаційних відключень електроенергії по місту:ТО обслуговування ВРЩ-0,4кВ; заміна тримачів заміна ПН-100А-250А - 3 шт.; вимір напруги; розподіл навантаження; ізоляція дротів; </t>
  </si>
  <si>
    <t xml:space="preserve">"Поточний ремонт, заміна випуску  госпфекальної каналізації за адресою: м. Чорноморськ, вул. Олександрійська, 15 (1 підїзд)"Ду110 – 7 м.п. (26 945,75 грн.). </t>
  </si>
  <si>
    <t xml:space="preserve">(1 під.) – х/в ремонт ділянки лежака, заміна труба Ду25 – 3,5 м.п., врізання до лежака Ду25 – 1 шт., заміна крану кульового Ду25 – 1 шт. (підвал, під'їзд 2) – х/в ремонт ділянки лежака, ремонт труби ПХВ Ду110 – 0,5 м.п.,  ремонт трійник ППР Ду110 – 1 шт.,  ремонт патрубок компенсаційний ППР Ду110 - 1 шт.  (підвал, під'їзд 3) – х/в ремонт ділянки лежака, ремонт труби ПХВ Ду110 – 1,5 м.п.,  ремонт трійник ППРДу110 – 1 шт., ремонт муфта ППРДу110 - 1 шт.  (3 під.) – х/в ремонт ділянки лежака, ремонт труба Ду32 – 1 м.п., ремонт крану кульового Ду32 – 1 шт.  (5 під.) – х/в ремонт ділянки лежака труби Ду25 – 1,5 м.п., ремонт крану кульового Ду25 – 1 шт.  (5 під) – х/в ремонт ділянки лежака, ремонт ділянки труби Ду25 – 0,5 м.п., ремонт врізання Ду20 – 0,5 м.п., ремонт крану кульового Ду20 – 1 шт.   (5 під.) – х/в ремонт ділянки лежака, ремонт ділянки труби Ду25 – 1,5 м.п., ремонт крану кульового Ду25 – 1 шт.  кв.79 – х/в ремонт врізання до стояка, ремонт ділянки труби Ду15 – 0,5 м.п., ремонт врізання Ду15 – 0,5 м.п., ремонт крану кульового Ду15 – 1 шт.  кв.74 – х/в ремонт врізання до стояка, ремонт ділянки труби Ду15 – 0,5 м.п., ремонт врізання Ду15 – 0,5 м.п., ремонт крану кульового Ду15 – 1 шт. Ремонт і підготовка до гідравлічного випробування системи ц/о: ремонт ділянки труби Ду57 – 3,5 м.п., Ду32 – 4 м.п., ремонт засувок Ду50 - 3 шт., ремонт вентилів Ду25 - 4 шт., Ду20 – 3 шт., ремонт кульових кранів Ду25 - 1 шт., заміна кульових кранів Ду20 - 2 шт., Ду15 - 3 шт., прочищення грязевиків – 2 шт.  кв.39 –  ремонт ділянки стояка каналізації ПХВДу110 –1,5 м.п., ремонт перехід муфта Ду110 - 1 шт., трійник ППРДу110 – 1 шт., патрубок компенсаційний ППРДу110 – 1 шт.  (6 під.) – ремонт ділянки лежака каналізації, заміна труби ПХВДу110 – 6,5 м.п., муфта Ду110 - 1 шт., заміна трійника Ду110 - 4 шт., заміна коліно ППРДу110 – 6 шт., перехід  ППРДу110 – 1 шт., заміна патрубок компенсаційний ППРДу110 - 1 шт.  (4 під.) – ремонт ділянки лежака каналізації, заміна труба ПХВДу110 – 4 м.п., заміна перехід муфта Ду110 - 1 шт., заміна коліно ППРДу110 – 1 шт., ремонт патрубок компенсаційний ППРДу110 – 1 шт.  (1 під.) – ремонт ділянки лежака каналізації, заміна труби ПХВДу110 – 9,5 м.п., муфта вставна Ду110 - 2 шт., заміна коліно ППРДу110 – 4 шт., муфта перехід ППРДу110 – 2 шт., заміна трійника Ду110 - 4 шт., редукція ППРДу110 – 1 шт., заміна патрубок компенсаційний ППРДу110 – 1 шт., хомут мет. Д110 мм. – 6 шт.   (1 під.) – ремонт ділянки лежака каналізації, підключення до стояка каналізації, заміна: труби ПХВ Ду110 – 1,5 м.п., коліно ППР Ду110 – 2 шт., трійник ППР Ду110 – 1 шт., труби ПХВДу50 – 6,5 м.п., муфта перехід ППРДу110х50 – 2 шт.;  ремонт: трійник ППРДу110х50 – 2 шт., муфта компенсаційний ППРДу110 – 1 шт.  (1 під.) – ремонт ділянки лежака каналізації ПХВДу110 – 0,5 м.п., ремонт коліно ППРДу110 – 1 шт., ремонт патрубок компенсаційний ППРДу110 – 1 шт. (2 під.) – ремонт ділянки лежака каналізації ПХВ Ду110 – 0,5 м.п., ремонт муфта ППРДу110 – 1 шт., ремонт патрубок компенсаційний ППР Ду110 – 1 шт.   (2 під.) – ремонт ділянки лежака каналізації ПХВДу110 – 1 м.п., ремонт коліно ППРДу110 – 1 шт., ремонт трійник ППРДу110 – 1 шт., ремонт перехід ППРДу110 – 1 шт.  (4 під.) – ремонт ділянки лежака каналізації ПХВДу110 – 0,5 м.п., ремонт коліно ППРДу110 – 3 шт., заміна заглушка ППРДу110 – 2 шт., ремонт муфта перехід ППР Ду110 – 1 шт. (1 під.) – ремонт ділянки лежака каналізації, заміна ділянки труби ПХВДу110 – 0,5 м.п., заміна муфта Ду110 вставна з PPR HT – 2 шт., заміна манжет Ду110 – 2 шт., заміна коліно ППР Ду110 – 5 шт., заміна патрубок компенсаційний ППРДу110 - 2 шт., заміна трійника ППРДу110 – 2 шт. Фарбування (закрашення) написів на фасадах будівель – 8,5 кв.м. (наркотичних, інформаційних) – 1,5 кв.м. (торець 6п.).  Фарбування стойок на білизняних майданчиках – 6 шт.  Фарбування вуличних лавок – 6 шт.  Фарбування вуличних урн – 2 шт. На дитячому майданчику ремонт гойдалки, електрозварювальні роботи. Фарбування дворових поручнів – 12 шт. Фарбування дворових чистілок для взуття  – 6 шт.  Ремонт вуличних лавок – 3 шт. (рейок – 6 шт.). На дитячому майданчику ремонт гойдалки, електрозварювальні роботи.  Фарбування (закрашення) написів на фасадах будівель (наркотичних, інформаційних) - 2,4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</si>
  <si>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(1 під.) – х/в ремонт ділянки лежака, труба Ду25 – 2 м.п., врізання до лежака Ду25 – 1 шт., ремонт крану кульового Ду25 – 1 шт., заміна труби Ду15 – 0,5 м.п., ремонт крану кульового Ду15 – 1 шт.  (4 під.) – х/в встановлення лічильників холодної води для поливу, труба Ду16 – 5 м.п., врізання до лежака Ду32 – 1 шт., встановлення муфти МПНРДу16х1/2 – 2 шт., встановлення лічильника Ду15 – 1 шт., встановлення комплекту до лічильника Ду15 – 1 шт., встановлення клапана зворотного Ду15 – 1 шт., встановлення фільтру Ду15 – 1 шт., встановлення хомута с дюбелем и шпилькою Ду15 – 2 шт., встановлення ніпель бочонка Ду15 – 1 шт., встановлення крану кульового Ду15 – 2 шт.  Встановлення лічильників холодної води для поливу прибудинкових клумб п.4. (2 під.) – х/в ремонт ділянки лежака, ремонт труба Ду32 – 1 м.п., ремонт крану кульового Ду32 –1 шт.  кв.126 – х/в ремонт врізання до стояка, ремонт ділянки труби Ду25 – 0,5 м.п., ремонт врізання Ду15 – 0,5 м.п., ремонт крану кульового Ду15 – 1 шт.  (2 під.) – х/в ремонт ділянки лежака, ремонт ділянки труби Ду25 - 0,5 м.п., ремонт врізання труби Ду25 – 0,5 м.п., ремонт крану кульового Ду25 – 1 шт.  кв.146 – х/в ремонт врізання до стояка, ремонт ділянки труби Ду15 – 0,5 м.п., ремонт врізання Ду15 – 0,5 м.п., ремонт крану кульового Ду15 – 1 шт.  (2 під.) – ремонт, заміна частки трубопроводу водопостачання Ду25 – 1,5 м.п.  (2 під.) – х/в ремонт ділянки лежака водопостачання Ду32 – 1,5 м.п., ремонт врізання Ду32 – 0,5 м.п., ремонт крану кульового Ду32 – 1 шт.  Ремонт і підготовка до гідравлічного випробування системи ц/о:(1 ел., 1,2 під.) - заміна ділянки труби Ду80 – 2 м.п., Ду57 – 2,5 м.п., Ду25 – 3,5 м.п., заміна засувок Ду80 - 1 шт., Ду50 - 1 шт., ремонт вентилів Ду25 - 2 шт., Ду20 – 3 шт., заміна кульових кранів Ду25 - 1 шт., Ду20 – 4 шт., Ду15 - 4 шт., прочищення грязевиків – 2 шт., (2 ел., 3,4 під.) – заміна ділянки труби Ду57 – 4,5 м.п., труби Ду32 – 1,5 м.п., заміна засувок Ду50 - 1 шт., ремонт вентилів Ду25 - 2 шт., Ду20 – 4 шт., ремонт кульових кранів Ду32 - 1 шт., заміна кульових кранів Ду20 - 4 шт., Ду15 - 5 шт., прочищення грязевиків – 2 шт.  кв.53 – ремонт ділянки стояка каналізації, заміна труба ПХВДу110 – 2 м.п., заміна муфта Ду110 - 1 шт., заміна трійника ППРДу110 – 1 шт., муфта вставна Ду110 - 1 шт., муфта перехід ППРДу110 – 1 шт., патрубок компенсаційний ППРДу110 – 1 шт.   (2 під.) – ремонт ділянки лежака каналізації ПХВДу110 – 0,5 м.п., ремонт ревізія Ду110 - 1 шт., ремонт коліно муфта перехід ППРДу110 – 2 шт., ремонт трійник ППРДу110 –2 шт., ремонт муфта компенсаційний ППРДу110 – 1 шт.  кв.1,4 – ремонт ділянки стояка каналізації ПХВДу110 – 2,5 м.п., ремонт ревізія Ду110 - 1 шт., ремонт коліно ППРДу110 – 1 шт., муфта перехід ППРДу110 – 1 шт., ремонт трійник ППРДу110 – 1 шт., ремонт муфта компенсаційний ППРДу110 – 1 шт.  (2 під.) – ремонт ділянки лежака каналізації, заміна труби ПХВДу110 – 5,5 м.п., заміна муфта перехід ППРДу110 – 1 шт., заміна трійник ППРДу110 – 1 шт., заміна коліно ППР Ду110 – 3 шт., встановлення хомута с дюбелем и шпилькою Ду110 – 3 шт., заміна муфта компенсаційний ППРДу110 – 1 шт. кв.37 – ремонт ділянки стояка каналізації ПХВДу110 – 2 м.п., ремонт коліно муфта перехід ППРДу110 – 1 шт., ремонт трійник ППРДу110 – 1 шт., ремонт муфта компенсаційний ППРДу110 – 1 шт. кв.93 – ремонт ділянки стояка каналізації ПХВДу110 – 0,5 м.п., ремонт муфта перехід ППРДу110 – 1 шт., ремонт муфта компенсаційний ППРДу110 – 1 шт. кв.124,128 – ремонт ділянки стояка каналізації, заміна труби ПХВ Ду50 – 3,5 м.п., заміна коліно ППРДу50 – 1 шт., заміна трійник ППРДу50 – 1 шт. Фарбування (закрашення) написів на фасадах будівель (наркотичних, інформаційних) – 1,5 кв.м. (позаду буд. 3п.), Фарбування вуличних урн – 6 шт. Фарбування вуличних лавок – 9 шт. Ремонт вуличних лавок – 1 шт. (рейок – 1 шт.).  Фарбування елементів внутрішньо дворових дитячих майданчиків – 1 шт.  Фарбування внутрішньо дворових сушарок для білизни та стойок – 8 шт. та для вибивання килимів.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Усунення  наслідків аварії що виникла внаслідок стабілізаційних відключень електроенергії по місту (ТО обслуговування ВРЩ-0,4кВ; заміна тримачів ПН, заміна ПН-100А-250А; відновлення живлення від ВРЩ-0,4кВ до поверхових щитків; вимір напруги; розподіл навантаження; ізоляція дротів); Усунення  наслідків аварій що виниклі внаслідок стабілізаційних відключень електроенергії по місту: ТО обслуговування ВРЩ-0,4кВ; заміна тримачів ПН 250А – 3 шт., заміна ПН-100А-250А - 3 шт.; вимір напруги; розподіл навантаження; ізоляція дротів;  </t>
  </si>
  <si>
    <t xml:space="preserve">(3 під.) – х/в ремонт ділянки труби Ду32 – 0,5 м.п., ремонт крану кульового Ду15 – 1 шт., ремонт врізання до стояка Ду15 – 1 шт.   кв.30 – х/в ремонт ділянки стояка Ду25 – 0,5 м.п., ремонт врізання до стояка Ду15 – 1 шт., ремонт крану кульового Ду15 – 1 шт.  (2 під.) –  х/в ремонт ділянки лежака, труба Ду25 –  2 м.п., врізання до лежака  Ду25 – 1 шт., ремонт крану кульового Ду25 – 1 шт., заміна труби Ду20 –  1,5 м.п., ремонт крану кульового Ду20 – 1 шт.    (4 під.) – х/в ремонт ділянки лежака Ду32 – 1 м.п., врізання до лежака Ду32 – 1 шт., ремонт крану кульового Ду32 – 1 шт., заміна труби Ду25 – 0,5 м.п., ремонт крану кульового Ду25 – 1 шт.   кв.4,8 – х/в ремонт ділянки стояка, заміна труби РР Ду25 – 8 м.п., врізання до стояка Ду25 – 1 шт., трійник РР Ду25х20х25 – 2 шт., коліно РР Ду25 – 3 шт., коліно РР Ду20 – 2 шт., муфта перехід РР Ду25х32 – 1 шт., муфта перехід РР Ду25х3/4 – 1 шт., РР Ду20х1/2 – 2 шт., заміна крану кульового Ду15 – 2 шт., Ду20 – 1 шт.   (під'їзд 1, кв. 32) – х/в ремонт ділянки стояка Ду25 –  1,5 м.п., ремонт крану кульового Ду15 – 1 шт. кв.25 – х/в ремонт врізання до стояка, ремонт ділянки труби Ду15 –  0,5 м.п., ремонт врізання до стояка Ду15 – 1 шт., ремонт крану кульового Ду15 – 1 шт.  кв.100 – х/в ремонт врізання до стояка, ремонт ділянки труби Ду15 – 0,5 м.п., ремонт врізання Ду15 – 0,5 м.п., ремонт крану кульового Ду15 – 1 шт.  кв.46 – х/в ремонт врізання до стояка, ремонт ділянки труби Ду15 – 1 м.п., ремонт врізання Ду15 – 0,5 м.п., ремонт крану кульового Ду15 – 1 шт.  кв.40 – х/в ремонт врізання до стояка, ремонт ділянки труби Ду15 – 0,5 м.п., ремонт врізання Ду15 – 0,5 м.п., ремонт крану кульового Ду15 – 1 шт.   кв.32 – х/в ремонт ділянки стояка водопостачання Ду25 – 1,5 м.п., ремонт врізання Ду15 – 0,5 м.п., ремонт крану кульового Ду15 – 1 шт.  Ремонт та гідравлічне випробування системи опалення: (ел. №1, 1,2 під.): заміна ділянки труби Ду57 – 2 м.п., Ду32 – 2 м.п., Ду25 – 2,5 м.п., заміна засувок Ду50 - 1 шт., ремонт засувок Ду50 - 2 шт., ремонт вентилів Ду25 - 2 шт., Ду20 – 3 шт., заміна кульових кранів Ду25 - 1 шт., Ду20 – 3 шт., Ду15 - 4 шт., прочищення грязевиків – 2 шт. (ел.№2, 3,4 під.): заміна ділянки труби Ду76 – 2,5 м.п., Ду40 – 2,5 м.п., Ду20 – 2,5 м.п., заміна засувок Ду80 - 2 шт., Ду50 - 2 шт., ремонт вентилів Ду32 - 2 шт., Ду20 – 3 шт., заміна кульових кранів Ду25 - 1 шт., Ду20 – 2 шт., Ду15 - 4 шт., прочищення грязевиків – 2 шт. (4 під.) – ремонт ділянки лежака каналізації, заміна труби ПХВДу110 – 1,5 м.п., ремонт муфта вставна Ду110 - 1 шт., ремонт коліно ППРДу110 – 1 шт., ремонт муфта перехід ППРДу110 – 1 шт., ремонт редукція ППРДу110 – 1 шт., ремонт патрубок компенсаційний ППРДу110 - 1 шт.  кв.121,125 – ремонт ділянки стояка каналізації ПХВДу110 – 1,5 м.п., ремонт муфта вставна Ду110 - 1 шт., ремонт коліно ППРДу110 – 1 шт., ремонт муфта перехід ППРДу110 – 1 шт., ремонт патрубок компенсаційний ППРДу110 - 1 шт.   кв.52,56 – ремонт ділянки стояка каналізації, заміна труби ПХВДу50 – 6,5 м.п., ремонт муфта вставна Ду50 - 1 шт., ремонт коліно ППРДу50 – 1 шт., ремонт патрубок компенсаційний ППРДу50 - 1 шт.   кв.4,8 – х/в ремонт ділянки стояка, лежака господарчої та зливової каналізації, труби ПХВДу110 – 5,5 м.п.,  трійник Ду110 - 2 шт., трійник Ду50 - 2 шт., коліно ППРДу110 – 2 шт., муфта перехід с манжетом ППР Ду110 – 1 шт.,  муфта компенсаційний ППР Ду110 – 1 шт., встановлення хомута с дюбелем и шпилькою Ду110 – 2 шт.  кв.102 – ремонт ділянки стояка каналізації ПХВДу50 – 0,5 м.п., ремонт трійник ППРДу50 - 1 шт., ремонт перехід муфта ППРДу110х50 – 1 шт. Поточний ремонт покрівлі: кв.144, 143 – 10 кв.м.  (3 під.) – ремонт дверей входу до підвалу, електрозварювальні роботи. Фарбування (закрашення) написів на фасадах будівель (наркотичних, інформаційних) – 1,5 кв.м. (торець 4п.), Фарбування вуличних урн – 3 шт. Фарбування вуличних лавок – 14 шт. Фарбування внутрішньо дворових сушарок для білизни та стойок для вибивання килимів – 12 шт. Фарбування елементів внутрішньо дворових дитячих майданчиків – 1 шт. (благоустрій, під'їзд 1) – облаштування майданчика для установки сміттєвих контейнерів, піщана підстава – 3,20 м3, укладання бетонних виробів - 6 кв.м. кв.4,8 – ремонт ділянки стояка зливової каналізації, труби ПХВ Ду50 – 6,5 м.п., трійник Ду50 - 2 шт., коліно  ППР Ду50 – 2 шт.,  патрубок перехід с манжетом ППР Ду50 – 1 шт., патрубок компенсаційний ППР Ду50 – 1 шт.,  встановлення хомута с дюбелем и шпилькою Ду50 – 3 шт. ТО обслуговування ВРЩ-0,4кВ заміна рубильника 400А – 1 шт., тримачі ПН 250А - 1 шт., 100А – 1 шт.; вимір напруги; розподіл навантаження; ізоляція дротів;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Усунення  наслідків аварій що виниклі внаслідок стабілізаційних відключень електроенергії по місту: ТО обслуговування ВРЩ-0,4кВ; заміна тримачів ПН 250А – 3 шт., заміна ПН-100А-250А - 3 шт.; вимір напруги; розподіл навантаження; ізоляція дротів;   </t>
  </si>
  <si>
    <t xml:space="preserve">кв.26 – х/в ремонт врізання до стояка, ремонт труба Ду15 – 0,5 м.п., врізання до стояка Ду15 – 1 шт., ремонт крану кульового Ду15 – 1 шт.  кв.42 – х/в ремонт врізання до стояка, ремонт труба Ду20 – 0,5 м.п., труба Ду15 – 0,5 м.п., ремонт крану кульового Ду15 – 1 шт.  кв.94 – х/в ремонт врізання до стояка, ремонт ділянки труба Ду15 –  0,5 м.п., ремонт врізання Ду15 – 0,5 м.п., ремонт крану кульового Ду15 – 1 шт.   кв.12 – х/в ремонт врізання до стояка, ремонт ділянки труби Ду15 –  0,5 м.п., ремонт врізання до стояка Ду15 – 1 шт., ремонт крану кульового Ду15 – 1 шт.  кв.28 – х/в ремонт врізання до стояка, ремонт ділянки труби Ду15 – 1 м.п., ремонт врізання Ду15 – 0,5 м.п., ремонт крану кульового Ду15 – 1 шт.  елеватор 1, під'їзд 1,2) – ремонт і підготовка до гідравлічного випробування системи ц/о: заміна ділянки труби:Ду89 – 3,5 м.п., Ду76 – 4,5 м.п., Ду57 – 5 м.п., Ду40 – 4 м.п., Ду32 – 5 м.п., Ду25 – 5 м.п., Ду20 – 2 м.п., Ду15 – 5 м.п., заміна засувок Ду50 - 2 шт., заміна кульових кранів: Ду40 – 2 шт., Ду32 – 3 шт., Ду25 - 3 шт., Ду20 – 5 шт., Ду15 - 11 шт., прочищення грязевиків – 2 шт.; (елеватор №2, під'їзд 3) – ремонт і підготовка до гідравлічного випробування системи ц/о: заміна ділянки труби Ду89 – 2,5 м.п., Ду57 – 2 м.п., Ду40 – 3 м.п., ремонт засувок Ду50 - 2 шт., ремонт кульових кранів Ду40 - 2шт., Ду32 – 3 шт., Ду25 - 3 шт., заміна кульових кранів Ду20 – 5 шт., Ду15 - 6 шт., прочищення грязевиків – 2 шт.  кв.24 –  ремонт ділянки стояка каналізації ПХВДу110 – 0,5 м.п., муфта Ду110 - 1 шт., коліно ППРДу110 – 1 шт., ремонт патрубок компенсаційний ППРДу110 - 1 шт.  (1 під.) – ремонт ділянки лежака каналізації ПХВДу110 – 1,5 м.п., муфта Ду110 - 1 шт., перехід  ППРДу110 – 1 шт., патрубок компенсаційний ППРДу110 - 1 шт.   (3 під.) – ремонт ділянки лежака каналізації, заміна труби ПХВДу110 – 2,5 м.п., муфта вставна Ду110 - 1 шт., муфта перехід ППРДу110 – 1 шт., заміна трійника Ду110 - 1 шт., заміна патрубок компенсаційний ППРДу110 – 1 шт.   (1 під.) – ремонт ділянки лежака каналізації ПХВДу110 – 1,5 м.п., ремонт муфта вставна Ду110 - 1 шт., ремонт муфта перехід  ППРДу110 – 1 шт., ремонт трійника Ду110 - 1 шт., ремонт патрубок компенсаційний ППРДу110 – 1 шт.  (3 під.) – ремонт ділянки лежака каналізації ПХВ Ду110 – 2,5 м.п., ремонт муфта вставна Ду110 - 1 шт., ремонт трійник ППРДу110 – 2 шт., ремонт патрубок компенсаційний ППРДу110 - 1 шт.   (2 п.) – ремонт ділянки стояка, каналізації ПХВДу110 – 0,5 м.п., ремонт коліно ППРДу110 – 1 шт., ремонт трійник ППРДу110 – 1 шт., ремонт муфта компенсаційний ППРДу110 – 1 шт.  (1 під.) – ремонт ділянки лежака каналізації ПХВДу110 – 0,5 м.п., ремонт трійник Ду110 - 1 шт., ремонт коліно ППРДу110 – 1 шт., ремонт муфта перехід ППРДу110 – 1 шт., ремонт муфта компенсаційний ППРДу110 – 1 шт.  (1 під.) – ремонт ділянки лежака каналізації ПХВДу110 – 0,5 м.п., ремонт коліно ППРДу110 – 1 шт., ремонт трійник ППРДу110 – 1 шт., ремонт патрубок компенсаційний ППР Ду110 – 1 шт. (підвал, під'їзд  2) – ремонт ділянки лежака каналізації ПХВ Ду110 – 1,5 м.п.,  ремонт трійник ППРДу110 - 1 шт.,  ремонт муфта ППРДу110 - 1 шт.  (1 під.) – ремонт ділянки лежака каналізації ПХВДу110 – 0,5 м.п., ремонт муфта ППРДу110 – 1 шт., ремонт патрубок компенсаційний ППРДу110 - 1 шт. (1 під.) – ремонт ділянки лежака каналізації ПХВ Ду110 – 1 м.п., ремонт муфта ППРДу110 – 1 шт., ремонт коліно ППРДу110 – 1 шт.  кв.51,55 – ремонт ділянки стояка каналізації ПХВДу110 – 2,5 м.п., ремонт коліно ППРДу110 – 2 шт., ремонт трійник ППРДу110 - 1 шт., ремонт перехід ППРДу110 – 1 шт. кв.78 – ремонт ділянки стояка каналізації ПХВДу110 – 1 м.п., ремонт муфта ППРДу110 – 1 шт., ремонт коліно ППРДу110 – 1 шт. (3 під.) – ремонт ділянки лежака каналізації, заміна труби ПХВДу110 – 2,5 м.п., заміна муфта Ду110 вставна з PPRHT – 1 шт., заміна манжет Ду50х72 – 2 шт., заміна трійника ППРДу110 – 4 шт., заміна заглушка ППРДу110 – 2 шт., заміна патрубок компенсаційний ППРДу110 - 3 шт., заміна ревізії ППРДу110 - 1 шт.  Поточний ремонт покрівлі: кв.33 – 3 кв.м., кв.33 – розчиста, цементна стяжка – 1 кв.м., ремонт покрівлі – 4,5 м.п.  кв.34, 106, 141 – 25 кв.м. (2 під.) – герметизація 2-х люків виходу на дах.  Демонтаж блокування паркувального місця - 3 шт.  Фарбування вуличних урн –  3 шт.  Фарбування вуличних лавок – 6 шт. внутрішньо дворових. Ремонт вуличних лавок – 1 шт. (рейок – 1 шт.).  (3 під.) – ремонт даху альтанки, 2 листа шиферу.  Ремонт обладнання дитячих майданчиків вуличних (заміна дошок, рейок) – 3 шт. Фарбування (закрашення) написів на фасадах будівель (наркотичних, інформаційних) - 2,5 кв.м.   На дитячому майданчику ремонт днища каруселі (фанера OSB), ремонт сходів на горки.  На дитячому майданчику встановлення лави для відпочинку після ремонту та фарбування в РБД.  Ремонт лави для відпочинку, електрозварювальні роботи. Скління: (1п.) – ліфтове приміщення – 0,65 кв.м. (3 під.) - ремонт крильця входу до під’їзду, демонтаж пошкодженої плитки, встановлення тротуарної плитки – 2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</si>
  <si>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кв.133 – х/в ремонт ділянки труби врізання до стояка, ремонт труба Ду15 – 0,5 м.п., врізання до стояка Ду15 – 1 шт., ремонт крану кульового Ду15 – 1 шт. 5 під.) – х/в ремонт ділянки лежака, ремонт труба Ду25 – 2 м.п., ремонт врізання до лежака Ду25 – 1 шт., ремонт крану кульового Ду25 – 1 шт., ремонт крану кульового Ду15 – 1 шт.  Встановлення лічильників холодної води для поливу прибудинкових клумб  п.3.  (4 під.) – х/в встановлення лічильників холодної води для поливу, труба Ду16 – 26 м.п., врізання до лежака Ду32 – 1 шт., встановлення муфти МП НР Ду16х1/2 – 2 шт., встановлення лічильника Ду15 – 1 шт., встановлення комплекту до лічильника Ду15 – 1 шт., встановлення клапана зворотного Ду15 – 1 шт., встановлення фільтру Ду15 – 1 шт., встановлення кліпси с дюбелем и шпилькою Ду16 – 15 шт., встановлення ніпель бочонка Ду15 – 2 шт.,  встановлення крану кульового Ду15 – 2 шт.; (3 під.) – х/в ремонт трубопроводу ділянки лежака, заміна труба Ду20 – 1,5 м.п., Ду15 – 1 м.п., заміна врізання до лежака Ду15 – 5 шт., заміна крану кульового Ду20 – 4 шт., Ду15 – 5 шт.   кв.29 – х/в ремонт врізання до стояка, ремонт ділянки труба Ду15 – 0,5 м.п., ремонт врізання Ду15 – 0,5 м.п., ремонт крану кульового Ду15 – 1 шт.  кв.42 – х/в ремонт врізання до стояка, ремонт ділянки труби Ду15 – 0,5 м.п., ремонт врізання Ду15 – 0,5 м.п., ремонт крану кульового Ду15 – 1 шт.  кв.76 – х/в ремонт ділянки стояка, лежака, заміна труби Ду32 – 4 м.п., муфта для з'єднання Ду32х25 – 1 шт., муфта МРВ Ду32х1 – 2 шт., муфта для з'єднання Ду32 – 1 шт., муфта МРЗ Ду20х1/2 – 2 шт., трійника Ду32 – 1 шт., коліно Ду32– 2 шт., коліно Ду20 – 1 шт.  (4 під.) – х/в ремонт врізання до стояка, ремонт ділянки труби Ду15 – 1 м.п., ремонт врізання Ду20 – 0,5 м.п., ремонт крану кульового Ду15 – 1 шт.  (5 під.) – х/в ремонт трубопроводу ділянки лежака Ду25 – 0,5 м.п., ремонт врізання Ду25 – 0,5 м.п., ремонт крану кульового Ду25 – 1 шт. Ремонт та гідравлічне випробування системи ц/о(ел. №, 1,2 під.) – заміна ділянки труби Ду80 – 2 м.п., Ду57 – 1,5 м.п., Ду32 – 3,5 м.п., заміна засувок Ду80 - 1 шт., Ду50 - 2 шт., ремонт вентилів Ду25 - 2 шт., Ду20 – 3 шт., заміна кульових кранів Ду25 - 1 шт., Ду20 – 3 шт., Ду15 - 5 шт., прочищення грязевиків – 2 шт.  (ел. №2, 3,4 під.) –  заміна ділянки труби Ду57 – 4,5 м.п., Ду32 – 4,5 м.п., заміна засувок Ду50 - 2 шт., ремонт вентилів Ду25 - 2 шт., Ду20 – 4 шт., ремонт кульових кранів Ду32 - 1 шт., заміна кульових кранів Ду20 - 3 шт., Ду15 - 3 шт., прочищення грязевиків – 2 шт.  (ел. №3, 5 під.) – заміна ділянки труби Ду57 – 3 м.п., Ду40 – 4,5 м.п., Ду25 – 2,5 м.п., заміна засувок Ду50 - 2 шт., ремонт вентилів Ду25 - 2 шт., Ду20 – 4 шт., заміна кульових кранів Ду25 - 1 шт., Ду20 - 4 шт., Ду15 - 4 шт., прочищення грязевиків – 2 шт. кв.81 – ремонт ділянки стояка каналізації ПХВДу50 – 1 м.п., трійника перехідна Ду50 - 1 шт., перехід ППРДу50 – 1 шт., коліно ППРДу50 - 1 шт.  (4 під.) – ремонт ділянки лежака каналізації ПХВДу110 – 1,5 м.п., муфта вставна Ду110 - 1 шт., муфта перехід ППРДу110 – 1 шт., ремонт трійника Ду110 - 1 шт., ремонт патрубок компенсаційний ППРДу110 – 1 шт.   (4 під.) – ремонт ділянки лежака каналізації ПХВДу110 – 1,5 м.п., ремонт муфта вставна Ду110 - 1 шт., ремонт коліно ППРДу110 – 1 шт., ремонт патрубок компенсаційний ППРДу110 - 1 шт.   кв.80 – ремонт ділянки стояка каналізації ПХВДу110 – 0,5 м.п., ремонт муфта вставна Ду110 - 1 шт., ремонт коліно ППРДу110 – 1 шт., ремонт патрубок компенсаційний ППРДу110 - 1 шт.  (5 під.) – ремонт ділянки лежака каналізації ПХВДу110 – 0,5 м.п., ремонт муфта перехід ППРДу110 - 1шт., ремонт трійник ППРДу110 – 1 шт., ремонт коліно ППР Ду110 – 1 шт., ремонт муфта компенсаційний ППРДу110 – 1 шт.  (4 під.) – ремонт ділянки лежака каналізації ПХВДу110 – 0,5 м.п., ремонт коліно ППРДу110 – 1 шт., ремонт патрубок компенсаційний ППРДу110 – 1 шт.   (під'їзд 2, кв. 52) – ремонт ділянки стояка каналізації ПХВ Ду110 – 1,5 м.п., заміна коліна ППРДу 110 – 2 шт., заміна патрубок компенсаційний ППРДу110 - 1 шт.  (підвал, під'їзд 3) – ремонт ділянки лежака каналізації ПХВДу110 – 0,5 м.п., ремонт коліно ППРДу110 - 1 шт., заміна хрестовини ППРДу110 – 2 шт., ремонт муфта компенсаційний ППРДу110 - 1 шт.  кв.76 – ремонт ділянки стояка каналізації, заміна труби ПХВ Ду50 – 3,5 м.п., коліно ППР Ду50 – 2 шт., заміна трійника ППР Ду50 – 2 шт. кв.78 – ремонт ділянки лежака, стояка каналізації, заміна труби ПХВДу110 – 3,5 м.п., заміна труби ПХВДу50 – 7,5 м.п., заміна муфта Ду110 вставна з PPR HT – 1 шт., заміна манжет Ду110 х127 – 2 шт., заміна трійника ППРДу110 – 7 шт., заміна трійника ППРДу50 – 5 шт., заміна редукція ППР Ду110 – 2 шт., заміна заглушка ППРДу110 – 2 шт., заміна ревізії ППРДу110 - 2 шт.  кв.132 – ремонт ділянки стояка каналізації ПХВДу50 – 0,5 м.п., ремонт трійника ППРДу50 – 1 шт., ремонт муфта перехід ППРДу50 – 1 шт. кв.132 – ремонт ділянки стояка каналізації ПХВДу50 – 1 м.п., ремонт муфта ППРДу50 – 1 шт., ремонт трійника ППРДу50х50 – 1 шт. (5 під.) – ремонт ділянки лежака каналізації ПХВДу110 – 0,5 м.п., ремонт коліно ППРДу110 – 1 шт., ремонт патрубок компенсаційний ППРДу110 - 1 шт., ремонт трійника ППРДу110 – 1 шт. Поточний ремонт покрівлі: кв.34 - 3 кв.м. (пункт незламності) – вхід до пункту ремонт решітки, лист мет. δ2мм - 1 шт., встановлення засувів - 2 шт., встановлення кодового замку. Фарбування (закрашення) написів на фасадах будівель (наркотичних, інформаційних) – 2,5 кв.м. (торець 5п.). Зачистка від старої фарби, грязі лавок, підготовка до фарбування із застосуванням ручного інструменту.  Фарбування вуличних лавок – 8 шт. Фарбування вуличних урн – 4 шт. місто (центр).   Фарбування вуличних урн – 5 шт. внутрішньо дворових.  Фарбування елементів внутрішньо дворових дитячих майданчиків  – 1 шт.  Ремонт вуличних лавок – 1 шт. (рейок – 2 шт.).  Виготовлення, встановлення та фарбування секції огородження (2,0х0,60) – 1 шт. на дитячому майданчику, арматура Д8 – 10 м.п., електрозварювальні роботи.  Фарбування елементів внутрішньо дворових дитячих майданчиків  – 1 шт.  Підрізування дерев та кущів (вишняку).  на дитячому майданчику ремонт огорожі (3 секції), електрозварювальні роботи.  відновлення секції огорожі на дитячому майданчику (електрозварювальні роботи) та ремонт покриття на майданчику (тротуарна плитка). На дитячому майданчику ремонт 3-х секцій огорожі, електрозварювальні роботи.  На дитячому майданчику ремонт огорожі, електрозварювальні роботи.  На дитячому майданчику ремонт мет.огорожі, електрозварювальні роботи.  (горище, 3 під.) – ремонт ділянки лежака зливової каналізації, заміна труби ПХВДу110 – 15,5 м.п., заміна коліно ППРДу110 – 11 шт., заміна муфта Ду110 вставна з PPRHT – 1 шт., заміна манжет Ду110 х127 – 1 шт., заміна ревізія ППРДу110 – 1 шт., заміна хрестовина ППРДу110 – 1 шт., хомут с дюбелем и шпилькою Ду100 – 2 шт., заміна патрубок компенсаційний ППРДу110 – 1 шт.  (сходова клітина, 4 під.) – ремонт ділянки лежака зливової каналізації, ремонт труби ПХВ Ду110 – 0,5 м.п., ремонт коліно ППРДу110 – 1 шт., заміна муфта перехід ППРДу110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Відновлення освітлення елеваторних вузлів.  
</t>
  </si>
  <si>
    <t xml:space="preserve">кв.246 – х/в ремонт ділянки стояка, ремонт труба Ду32 – 0,5 м.п., ремонт крану кульового Ду15 – 1 шт.  (6 під.) – х/в ремонт врізання до стояка водопостачання, ремонт ділянки труби Ду32 – 1 м.п., ремонт врізання Ду25 – 1 шт., ремонт крану кульового Ду25 – 1 шт.  Ремонт та гідравлічне випробування системи ц/о: заміна ділянки труби Ду57 – 2 м.п., Ду25 – 2,5 м.п., ремонт засувок Ду50 - 1 шт., ремонт вентилів Ду25 -2 шт., Ду20 – 4 шт., заміна кульових кранів Ду32 - 1 шт., Ду25 - 2 шт., Ду20 - 2 шт., Ду15 - 4 шт., прочищення грязевиків – 2 шт.  (4 під.) – ремонт ділянки стояка каналізації ПХВДу50 – 0,5 м.п., ремонт трійника перехідна Ду50 - 1 шт., ремонт перехід  ППРДу50 – 1 шт., ремонт  коліно ППРДу50 - 1 шт.  (4 під.) – ремонт ділянки лежака каналізації, заміна труби ПХВДу110 – 1,5 м.п., муфта вставна Ду110 - 1 шт., заміна хрестовини Ду110 - 1 шт., муфта ППРДу110 – 1 шт., редукція ППРДу110 – 1 шт., заміна трійник ППРДу110 - 1 шт., заміна патрубок компенсаційний ППРДу110 - 1 шт.   кв.185 – ремонт ділянки стояка каналізації, заміна труби ПХВДу110 – 0,5 м.п., ремонт трійник ППРДу110 – 1 шт., ремонт муфта перехід ППРДу110 – 1 шт., ремонт патрубок компенсаційний ППР Ду110 - 1 шт.   (4 під.) – ремонт ділянки лежака каналізації, заміна труби ПХВ Ду110 – 3,5 м.п., заміна ремонт муфта перехід ППР Ду110 – 1 шт., заміна трійник ППР Ду110 – 1 шт., заміна коліно ППР Ду110 – 1 шт., заміна муфта компенсаційний ППР Ду50 – 1 шт.  кв.183 – ремонт ділянки стояка каналізації ПХВДу110 – 0,5 м.п., ремонт коліно ППР Ду110 – 1 шт., ремонт трійник ППРДу110 – 1 шт., ремонт патрубок компенсаційний ППР Ду110 – 1 шт. (підвал, 4 під.) – ремонт ділянки лежака каналізації, заміна труби ПХВ Ду110 – 0,5 м.п.,  заміна трійник ППРДу110 – 1 шт.,  заміна патрубок компенсаційний ППРДу110 - 1 шт. кв.184 – ремонт ділянки стояка каналізації, заміна труби ПХВДу110 – 2,5 м.п., заміна коліно ППРДу110 – 6 шт., заміна заглушка ППРДу110 – 2 шт., заміна трійника ППРДу110 – 2 шт., заміна хрестовина ППРДу110 – 2 шт., заміна патрубок компенсаційний ППРДу110 - 1 шт. (6 під.) – ремонт ділянки лежака каналізації ПХВДу110 – 0,5 м.п., ремонт манжет Ду110 – 1 шт., ремонт коліно ППРДу110 – 1 шт., ремонт патрубок компенсаційний ППРДу110 - 1 шт., ремонт трійника ППРДу110 – 1 шт. Поточний ремонт покрівлі: кв.176 – 2 кв.м., (5-6 під) - 142 кв.м., 5 під. – заміна 2-х водоприймальних воронок на даху будинку, встановлення заліза покрівельного на парапеті – 10 м.п., закріплення заліза – 50 м.п.  Фарбування (закрашення) написів на фасадах будівель (наркотичних, інформаційних) – 1,3 кв.м.  Фарбування вуличних лавок – 2 шт. Ремонт вуличних лавок – 3 шт. (рейок – 5 шт.). (4 під.) - демонтаж зламаних урн – 2 шт., встановлення урн б/у – 2 шт.  Ремонт обладнання дитячих майданчиків вуличних (заміна дошок, рейок) – 3 шт.  На дитячому майданчику ремонт гойдалки, електрозварювальні роботи. Фарбування (закрашення) написів на фасадах будівель (наркотичних, інформаційних) - 0,1 кв.м. На дитячому майданчику ремонт гойдалки, заміна підшипників, електрозварювальні роботи.  Встановлення 2-х урн для сміття біля під’їздів. (6п.) – відновлення жолоба від внутрішнього водостоку з засипкою будівельним сміттям та відсівом., стяжка – 4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</si>
  <si>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(7 під.) – ремонт ділянки лежака х/в, ремонт труби Ду25 – 1,5 м.п., ремонт крану кульового Ду25 – 1 шт., врізання до стояка Ду25 – 1 шт.   кв.260 – х/в ремонт ділянки стояка, ремонт труба Ду25 – 0,5 м.п., ремонт врізання до стояка  Ду15 – 1 шт., ремонт крану кульового Ду15 – 1 шт.   кв.29 – х/в ремонт ділянки стояка труби, ремонт труби Ду16 – 0,5 м.п., ремонт врізання до стояка Ду15 – 1 шт., ремонт крану кульового Ду15 - 1 шт.   (2 під.) – х/в ремонт ділянки лежака, заміна труби Ду50 – 2,5 м.п., Ду40 – 3 м.п., Ду32 – 3,5 м.п., Ду25 – 6,5 м.п., Ду20 – 1,5 м.п., заміна врізання до стояка Ду50 – 1 шт., Ду32 – 1 шт., Ду25 – 1 шт., Ду20 – 1 шт., заміна крану кульового Ду20 – 4 шт.   кв.231 – х/в ремонт врізання до стояка, ремонт труба Ду15 – 0,5 м.п., врізання до стояка Ду15 – 1 шт., ремонт крану кульового Ду15 – 1 шт.   кв.235 – х/в ремонт врізання до стояка, ремонт труба Ду15 – 0,5 м.п., врізання до стояка Ду15 – 1 шт., ремонт крану кульового Ду15 – 1 шт.   кв.44 – х/в ремонт врізання до стояка, ремонт труба Ду15 – 0,5 м.п., врізання до стояка Ду15 – 1 шт., ремонт крану кульового Ду15 – 1 шт.    кв.243 – х/в ремонт врізання до стояка, ремонт труба Ду15 – 0,5 м.п., врізання до стояка Ду15 – 1 шт., ремонт крану кульового Ду15 – 1 шт.  Встановлення лічильників холодної води для поливу прибудинкових клумб: п.9 – 1 шт. Встановлення лічильників – 1 шт. холодної води для поливу прибудинкових клумб за адресою (4 під.).  кв.42 – х/в ремонт врізання до стояка, ремонт труба Ду15 – 0,5 м.п., ремонт врізання до лежака Ду15 – 1 шт., ремонт крану кульового Ду15 – 1 шт.   Встановлення лічильнику холодної води для поливу прибудинкових клумб: (3 під.). Встановлення лічильників холодної води для поливу прибудинкових клумб 6 під. – 1 шт. (під'їзд 2, кв.44) –  х/в ремонт врізання до стояка, ремонт труба Ду15 – 1,5 м.п., ремонт крану кульового Ду15 – 1 шт. (підвал, під'їзд 4) – х/в ремонт ділянки лежака, ремонт труба Ду25 – 1,5 м.п., ремонт крану кульового Ду25 – 1 шт.  кв.107 – х/в ділянки труби Ду15 – 1 м.п., ремонт врізання Ду15 – 0,5 м.п., ремонт крану кульового Ду15 – 1 шт.  кв.132 – х/в ремонт ділянки труби Ду15 – 1 м.п., ремонт врізання Ду15 – 0,5 м.п., ремонт крану кульового Ду15 – 1 шт.  кв.28 – х/в ремонт врізання до стояка, ремонт ділянки труби Ду15 – 1 м.п., ремонт врізання Ду15 – 0,5 м.п., ремонт крану кульового Ду15 – 1 шт.  кв.89 – ц/о ремонт врізання до стояка, ремонт труба Ду20 – 0,5 м.п., врізання до стояка Ду20 – 1 шт., ремонт крану кульового Ду20 – 1 шт.  Ремонт і підготовка до гідравлічного випробування системи ц/о: (елеватор №1, 1,2,3,4,5 під.) - ремонт ділянки труби Ду89 – 2 м.п., Ду32 – 2,5 м.п., заміна засувок Ду80 - 2 шт., ремонт засувок Ду80 - 2 шт., ремонт вентилів Ду32 - 2 шт., Ду20 – 3 шт., заміна кульових кранів Ду25 - 1 шт., Ду20 - 2 шт., Ду15 - 3 шт., прочищення фільтрів – 2 шт. (ел.№ 2, 6,7,8,9 під.) - ремонт ділянки труби Ду76 – 2 м.п., Ду25 – 2,5 м.п., ремонт засувок Ду50 - 1 шт., ремонт вентилів Ду25 - 2 шт., Ду20 – 4 шт., заміна кульових кранів Ду32 - 1 шт., Ду25 - 2 шт., Ду20 - 2 шт., Ду15 - 2 шт., прочищення грязевиків – 2 шт.  кв.134 – ц/о ремонт врізання до радіатора, ремонт ділянки труби Ду15 – 0,5 м.п., ремонт врізання Ду15 – 0,5 м.п., ремонт крану кульового Ду15 – 1 шт.  (6 під.) – ремонт ділянки лежака каналізації ПХВДу110 – 0,5 м.п., муфта Ду110 - 1 шт., перехід  ППРДу110 – 1 шт., ремонт патрубок компенсаційний ППР Ду110 - 1 шт.  (7 під.) – ремонт ділянки лежака каналізації ПХВДу110 – 2,5 м.п., муфта Ду110 - 1 шт., трійник ППРДу110 – 1 шт., ремонт коліно ППРДу110 - 1 шт.    (6 під.) – ремонт ділянки лежака каналізації, заміна труби ПХВДу110 – 1, 5 м.п., муфта вставна Ду110 - 2 шт., заміна хрестовини Ду110 - 2 шт., заміна коліно ППРДу110 – 4 шт., муфта ППР Ду110 – 2 шт., ревізія ППРДу110 – 3 шт., редукція ППРДу110 – 1 шт., заміна трійник ППРДу110 - 5 шт., заміна патрубок компенсаційний ППРДу110 - 2 шт.   (1 під.) – ремонт ділянки стояка каналізації ПХВ Ду110 – 1,5 м.п., ремонт муфта вставна Ду110 - 1 шт., ремонт коліно ППРДу110 - 1шт., редукція ППРДу110 – 1 шт., ремонт трійник ППРДу110 - 1 шт., ремонт патрубок компенсаційний ППРДу110 - 1 шт.   кв.132 – ремонт ділянки стояка каналізації ПХВДу110 – 0,5 м.п., ремонт муфта вставна Ду110 - 1 шт., ремонт муфта перехід ППРДу110 – 1 шт., ремонт коліно Ду110 - 1 шт., ремонт патрубок компенсаційний ППРДу110 – 1 шт.   (8 під.) – ремонт ділянки підключення до стояка каналізації ПХВ Ду50 – 0,5 м.п., ремонт муфта перехід ППРДу50 – 1 шт., ремонт трійник ППРДу50 – 1 шт., ремонт коліно ППРДу110 – 1 шт., ремонт муфта компенсаційний ППРДу50 – 1 шт. (1 під.) – ремонт ділянки лежака каналізації ПХВДу110 – 0,5 м.п., ремонт муфта перехід ППРДу110 - 1 шт., ремонт трійник ППРДу110 – 1 шт., ремонт муфта компенсаційний ППРДу110 – 1 шт.; кв.132 – ремонт ділянки стояка каналізації ПХВДу50 – 0,5 м.п., заміна коліна ППРДу50 – 6 шт., ремонт патрубок компенсаційний ППРДу50 – 1 шт.   (2 під.) – ремонт ділянки лежака каналізації, заміна труби ПХВДу110 – 3,5 м.п., заміна коліно ППРДу110 – 3 шт., заміна трійник ППРДу110 – 2 шт., заміна хрестовина ППРДу110 – 2 шт. (8 під.) – ремонт ділянки лежака каналізації, заміна труби ПХВДу110 – 2,5 м.п., заміна трійника ППРДу110 – 3 шт., заміна муфта перехід ППРДу110х50 – 1 шт.  (5 під.) – ремонт ділянки лежака каналізації ПХВДу110 – 1 м.п., ремонт трійника ППРДу110 – 1 шт., ремонт коліно ППРДу110 – 1 шт.  кв.48 – ремонт ділянки стояка каналізації ПХВ Ду110 – 1,5 м.п., ремонт муфта ППРДу110 – 1 шт., ремонт коліно ППРДу110 – 1 шт.  (4 під.) – ремонт ділянки лежака каналізації, заміна труби ПХВДу110 – 4,5 м.п., заміна муфта Ду110 вставна з PPR HT – 1 шт., заміна манжет Ду110 х127 – 2 шт., заміна трійника ППРДу110 – 4 шт., заміна редукція ППРДу110 – 2 шт., заміна заглушка ППРДу110 – 2 шт., заміна патрубок компенсаційний ППРДу110 - 2 шт., заміна ревізії ППРДу110 - 2 шт.  кв.48 – ремонт ділянки стояка каналізації, ремонт муфта ППРДу110 – 1 шт., ремонт ділянки труби ПХВДу110 – 1 м.п., ремонт трійника ППРДу110 – 1 шт., ремонт патрубок компенсаційний ППРДу110 – 1 шт.  кв.130 – ремонт ділянки стояка каналізації, заміна ділянки труби ПХВДу50 – 3,5 м.п.,  заміна трійника ППРДу50 – 2 шт., заміна коліно ППРДу50 – 4 шт. Поточний ремонт покрівлі: кв.32 – 2 кв.м., кв.132, маш. відділення – 30 кв.м., (волонтери) – 10 кв.м., штукатурка оголовків вентиляційних каналів – 5 кв.м.  (3, 4 під.) – ремонт дверей входу до Укритій, електрозварювальні роботи. Фарбування (закрашення) написів – 2,5 кв.м. (торець 1п.).   (під'їзд 8,9) - підрізування дерев та кущів (вишняку). Фарбування вуличних лавок – 1 шт. Фарбування вуличних урн – 9 шт.  Ремонт вуличних лавок – 3 шт. (рейок – 5 шт.). Прибирання, збирання і вивіз коліс з прибудинкових територій із застосуванням навантажувача і самоскида РСУ. На дитячому майданчику встановлення гойдалки на два елементу після ремонту (зварювальні роботи) в РБД, фарбування гойдалки, встановлення урни для сміття, ремонт гойдалки, заміна 2-х рейок. (Волонтери) – ремонт фасаду з відбиттям пошкодженої штукатурки, демонтаж водостічної труби, штукатурка фасаду.  (підвал, під'їзд 4) – ремонт ділянки лежака зливової каналізації,  ремонт труби ПХВ Ду110 – 0,5 м.п.,  ремонт коліно  ППРДу 110 – 1 шт.,  ремонт патрубок компенсаційний ППР Ду110 - 1 шт., ремонт трійник ППРДу110 – 1 шт.    (волонтери) – заміна водостічної труби Ду130 – 5 м.п., воронки та відвід.   (5 під.) – ремонт ділянки лежака зливової каналізації, заміна труби ПХВДу110 – 4,5 м.п., заміна коліно ППРДу 110 – 4 шт., заміна муфта Ду110 вставна з PPRHT – 1 шт., заміна манжет Ду110 х127 –1 шт., заміна ревізія ППРДу110 – 1 шт., заміна хрестовина ППРДу110 – 1 шт., хомут с дюбелем и шпилькою Ду100 – 1 шт., заміна патрубок компенсаційний ППРДу110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Усунення  наслідків аварії що виникла внаслідок стабілізаційних відключень електроенергії по місту (ТО обслуговування ВРЩ-0,4кВ; заміна тримачів ПН, заміна ПН-100А-250А; відновлення живлення від ВРЩ-0,4кВ до поверхових щитків; вимір напруги; розподіл навантаження; ізоляція дротів);    
</t>
  </si>
  <si>
    <t xml:space="preserve">кв.99 – х/в ремонт врізання до стояка, ремонт труба Ду15 – 0,5 м.п., врізання до стояка Ду15 – 1 шт., ремонт крану кульового Ду15 – 1 шт.  Встановлення лічильників холодної води для поливу прибудинкових клумб  п.1, п.4, п.6.  (6 під.) – х/в ремонт ділянки лежака, ремонт ділянки труби Ду32 – 0,5 м.п., ремонт врізання труби Ду25 – 0,5 м.п., ремонт крану кульового Ду25 – 1 шт. Ремонт та гідравлічне випробування системи ц/о: (ел. №1, 1,2,3 під.) - ремонт ділянки труби Ду57 – 2 м.п., Ду25 – 2,5 м.п., ремонт засувок Ду50 - 1 шт., ремонт вентилів Ду25 - 2 шт., Ду20 – 4 шт., заміна кульових кранів Ду32 - 1 шт., Ду25 - 1 шт., Ду20 - 2 шт., Ду15 - 2 шт., прочищення грязевиків – 2 шт. (ел. №2, 4,5,6 під.) – ремонт ділянки труби Ду40 – 1 м.п., Ду32 – 2,5 м.п., ремонт засувок Ду50 – 4 шт., ремонт вентилів Ду25 -2 шт., Ду20 – 4 шт., заміна кульових кранів Ду32 - 1 шт., Ду25 - 1 шт., Ду20 - 1 шт., Ду15 - 1 шт., прочищення грязевиків – 2 шт. (ел. №3 7,8 під.) – ремонт ділянки труби Ду57 – 2 м.п., Ду25 – 2,5 м.п., ремонт засувок Ду50 - 1 шт., ремонт вентилів Ду25 - 2 шт., Ду20 – 4 шт., заміна кульових кранів Ду25 - 3 шт., Ду20 - 4 шт., Ду15 - 4 шт., прочищення грязевиків – 2 шт.  (2 під.) – ремонт, заміна частки трубопроводу опалення Ду50 – 3 м.п.  (2 під.) – ремонт ділянки лежака теплопостачання, заміна ділянки труби Ду57 – 1,5 м.п., ремонт врізання Ду57 – 1 шт.  кв.29 – ремонт ділянки стояка, каналізації, заміна труби ПХВДу110 – 1,5 м.п., заміна ревізія Ду110 - 1 шт., муфта вставна Ду110 - 2 шт., заміна трійник ППРДу110 – 2 шт., муфта перехід ППРДу110 – 1 шт., заміна патрубок компенсаційний ППРДу110 – 1 шт.  кв.29 – ремонт ділянки стояка каналізації, ремонт труби ПХВДу110 – 1,5 м.п., ремонт ревізія Ду110 - 1 шт., ремонт коліно муфта перехід ППРДу110 – 1 шт., ремонт трійник ППРДу110 – 1 шт., ремонт муфта компенсаційний ППРДу110 – 1 шт.  кв.29 – ремонт ділянки стояка каналізації, заміна труби ПХВДу110 – 2,5 м.п., ремонт ревізія Ду110 - 1 шт., ремонт коліно ППРДу110 –3 шт., муфта перехід ППРДу110 – 1 шт., ремонт трійник ППРДу110 – 1 шт., ремонт муфта компенсаційний ППРДу110 – 1 шт.  кв.144 – ремонт ділянки стояка каналізації, ремонт труби ПХВДу50 – 0,5 м.п., ремонт ревізія Ду50 - 1 шт., ремонт коліно ППРДу50 –1 шт., ремонт муфта перехід ППР Ду50 – 1 шт., ремонт муфта компенсаційний ППРДу50 – 1 шт.   кв.242 – ремонт ділянки стояка каналізації, заміна труби ПХВДу50 – 2,5 м.п., ремонт коліно ППРДу50 – 1 шт., ремонт трійник ППРДу50 – 1 шт., заміна патрубок компенсаційний ППР Ду50 – 1 шт.   (1 під.) – ремонт ділянки лежака каналізації, ремонт труби ПХВДу110 – 0,5 м.п., ремонт коліно ППРДу110 – 1 шт., ремонт трійник ППРДу110 – 1 шт., ремонт патрубок компенсаційний ППРДу110 – 1 шт.  (під'їзд 3, кв. 103, 99, 94, 90) – ремонт ділянки стояка каналізації,  ремонт труби ПХВ Ду50 – 9,5 м.п.,  заміна коліна  ППРДу 50 – 6 шт.,  ремонт патрубок компенсаційний ППРДу50 - 1 шт. (підвал, під'їзд 5) – ремонт ділянки лежака каналізації, ремонт труби ПХВ Ду110 – 1,5 м.п.,  ремонт трійник ППР Ду110 - 1 шт.,  ремонт патрубок компенсаційний ППР Ду110 - 1 шт.  (підвал, під'їзд 4) – ремонт ділянки лежака каналізації, ремонт труби ПХВ Ду110 – 0,5 м.п.,  ремонт коліно ППР Ду110 - 1 шт.,  ремонт  хрестовини ППР Ду110 – 1 шт.,  ремонт муфта ППР Ду110 - 1 шт.  (6 під.) – ремонт ділянки лежака каналізації, заміна труби ПХВ Ду50 – 4 м.п., заміна коліно ППР Ду50 – 4 шт., заміна трійник ППР Ду50 – 1 шт.  (6 під.) – ремонт ділянки лежака каналізації, заміна труби ПХВДу110 – 2,5 м.п., заміна коліно ППРДу110 – 1 шт., заміна трійник ППР Ду110 – 1 шт., заміна хрестовина ППРДу110 – 1 шт.  (5 під.) – ремонт ділянки лежака каналізації, ремонт труби ПХВДу110 – 1 м.п., ремонт коліно ППРДу110 – 1 шт., ремонт трійник ППРДу110 – 1 шт., ремонт перехід ППРДу110 – 1 шт. (1 під.) – ремонт ділянки лежака каналізації, ремонт труби ПХВДу110 – 0,5 м.п., ремонт трійник ППРДу110 – 1 шт., ремонт коліно ППРДу110 – 1 шт.  (8 під.) – ремонт ділянки стояка каналізації, ремонт труби ПХВДу110 – 0,5 м.п., ремонт коліно ППРДу110 – 4 шт., ремонт перехід ППРДу110 – 1 шт.  (7 під.) – ремонт ділянки лежака каналізації ПХВДу110 – 1,5 м.п., заміна коліно ППР Ду110 – 2 шт., заміна заглушка ППРДу110 – 2 шт., заміна патрубок компенсаційний ППРДу110 - 1 шт., заміна перехід ППРДу110 – 1 шт.  (8 під.) – ремонт ділянки лежака каналізації ПХВДу110 – 0,5 м.п., ремонт манжет Ду110х127 –1 шт., ремонт трійника ППРДу110 – 1 шт., ремонт заглушка ППРДу110 – 1 шт., заміна патрубок компенсаційний ППРДу110 - 1 шт., ремонт ревізії ППРДу110 - 2 шт.  (1 під.) – ремонт ділянки лежака каналізації, ремонт муфта ППРДу110 – 1 шт., ремонт ділянки труби ПХВДу110 – 0,5 м.п., ремонт трійника ППРДу110 – 1 шт., ремонт коліно ППРДу110 – 1 шт.  (4 під.) – ремонт ділянки лежака каналізації, ремонт муфта ППРДу110 – 1 шт., ремонт ділянки труби ПХВДу110 – 0,5 м.п., ремонт трійника ППРДу110 – 1 шт., ремонт коліно ППРДу110 – 1 шт.  (3 під.) – ремонт ділянки лежака каналізації ПХВДу110 – 0,5 м.п., ремонт манжет Ду110 – 1 шт., ремонт патрубок компенсаційний ППРДу110 - 1 шт., ремонт трійника ППРДу110 – 1 шт.   Поточний ремонт покрівлі: кв.285, 284, 287, 8 під.-л/кл, маш./відділення – 85 м.кв., кв.32, 33, 34, 1 під.-маш. відділення – 10 кв.м. Фарбування (закрашення) написів на фасадах будівель (наркотичних, інформаційних) – 2 кв.м. (торець 2п.).  3,5 кв.м. (торець 2п.).  Ремонт 44-х лав для відпочинку, заміна рейок – 8 шт.  Прибирання, збирання і вивіз коліс з прибудинкових територій із застосуванням навантажувача і самоскида РСУ. На дитячому майданчику встановлення гойдалки на два елементу після ремонту (зварювальні роботи) в РБД, фарбування гойдалки, встановлення урни для сміття. Завезення чорнозему на прибудинкові території – 1 машина.  (4 під.) – ремонт ділянки лежака зливової каналізації, ремонт труби ПХВДу110 – 1 м.п., ремонт коліно ППРДу110 – 1 шт., ремонт трійник ППРДу110 – 1 шт., ремонт перехід ППРДу110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</si>
  <si>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(1 під.) - встановлення ремкомплекту на трубопроводі водопостачання Ду25 - 1 шт.   /оренда/ - заміна крана кульового Ду15 - 1 шт. на трубопроводі х/води. Встановлення ремкомплекту на трубопроводах г/води: Ду32 – 2 шт.  Демонтаж трубопроводу г/в в підвалі встановлення заглушок. кв.2 (приміщення КП МУЖКГ) - демонтаж трубопроводу г/води та встановлення заглушок Ду32 - 2 шт.  Ремонт та гідравлічні випробування системи опалення: заміна кранів кульових Ду25 - 1 шт., Ду20 - 2 шт., ремонт засувок Ду80 - 1 шт., Ду50 - 3 шт., ремонт кранів Ду25 - 2 шт., Ду20 - 2 шт., Ду15 - 3 шт.  Ремонт засувок на системі опалення, набивка сальників Ду50 - 1 шт.  Встановлення каналізаційних заглушок Ду110 – 1 шт.  (1під.) - заміна пошкодженого трубопроводу водовідведення Ду110 - 1,5 м.п., встановлення компенсатору Ду110 - 1 шт.   Встановлення «глушок» Ду110 - 1 шт. на каналізаційний трубопровід.  кв.47 - заміна пошкодженого трубопроводу каналізації Ду110 - 2,0 м.п., перехід Ду124/110 - 1 шт., редукція Ду110 - 1 шт.  Фарбування лавок - 2 шт. (місто).    Фарбування лавок прибудинкові – 2 шт.  Фарбування урн прибудинкові – 1 шт. Фарбування елементів дитячих майданчиків.  На дитячому майданчику ремонт гойдалки. Дитячий майданчик – ремонт гойдалки (зварювальні роботи). Ремонт огорожі газону (зварювання). Ремонт гойдалки на дитячому майданчику (електрозварювальні роботи).  На дитячому майданчику ремонт гойдалки (вандалізм), заміна ланцюгів, карабінів, ремонт сидушки, демонтаж та транспортування для ремонту до РБД каруселі (заміна підшипників, електрозварювальні роботи). На дитячому майданчику встановлення каруселі після ремонту в РБД, заміна підшипників, електрозварювальні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</si>
  <si>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(2 під.) - встановлення ремкомплекту Ду100 - 1 шт. на трубопроводі х/води.   кв.107 - заміна крана кульового Ду15 – 1 шт. на трубопроводі х/води.  (1п.) – встановлення хомута Ду110 – 1 шт. на трубопроводі водопостачання.   (1 під.) - встановлення ремкомплекту на трубопроводі х/води Ду80 - 2 шт.   кв.46 - встановлення крана кульового Ду15 – 1 шт. на трубопроводі х/води.   (2 під.) – 1 шт. - зняття заглушок на трубопроводі холодного водопостачання, встановлення лічильників обліку води та їх опломбування фахівцями ЧВК.  кв.148 - заміна пошкодженого трубопроводу водопостачання Ду25 - 1,5 м.п.  Встановлення ремкомплектів на трубопроводі водопостачання (2 під.) Ду76 - 1 шт. (1,2пп.) - монтаж поливального трубопроводу труба МТП 16х2мм - 16,0 м.п.+ 6 м.п. (2під.), кран кульовий Ду15 - 2 шт., муфта 16х1/2*- 2 шт., лічильник – 1 шт., фільтр Ду15 – 1 шт., приєднувальний комплект Ду15 - 1 шт.   (2 під.) - встановлення ремкомплектів на трубопроводі водопостачання: 2 під., 7 поверх Ду89 - 2 шт., 2 під., підпілля Ду25 - 1 шт.  (2 під., 17 поверх) – встановлення ремкомплекту на трубопроводі водопостачання.   кв.170/171 – ремонт, заміна частки трубопроводу водопостачання труба ПХВ40 – 1 м.п., трійник Ду40х20 – 2 шт., американка 40х1 ¼ - 2 шт., труба Ду20 – 2 м.п., угол Ду20 – 3 шт., муфта Ду20х1/2 – 2 шт., кран Ду15 – 1 шт.   в насосної станції монтаж трубопроводу аварійного скидання х/ водопостачання до каналізації, встановлення кранів кульових Ду25 – 1 шт., труба Ду25 – 1 м.п.  (1 під., 8 поверх, кв.43) – ремонт трубопроводу водопостачання, заміна відсічного крану Ду15 – 1 шт.  (1 під.) – ремонт трубопроводу водопостачання, встановлення ремкомплекту Ду100 – 2 шт.  Встановлення ремкомплектів на трубопроводи х/води: (1 під.) Ду100 - 2 шт., (1 під.) Ду80 – 1 шт. Встановлення ремкомплектів на трубопроводи х/води: (1 під.) Ду100 – 2 шт.  (1 під.) – ремонт трубопроводу водопостачання встановлення ремкомплекту Ду100 - 1 шт. в підпіллі.  (1 під.) - монтаж дренажного трубопроводу г/води труба МТП Ду16 - 10,0 м.п., фитинг Ду16х1,2" - 2 шт., перехідник 3/4" - 1 шт.  Встановлення ремкомплекту на трубопроводах г/води: (2під.) Ду50 – 2 шт. Налагоджування роботи насосів бойлерной опалення та скидання повітря з трубопроводів опалення. Ремонт та гідравлічне випробування системи опалення: налагодження обладнання насосів – 3шт., ремонт засувок Ду100 – 6 шт., Ду50 - 7 шт.,  заміна «заглушок» на збросниках стояків Ду20 - 9 шт., Ду15 – 8 шт., заміна кранів кульових Ду15 - 4 шт., Ду20 - 5 шт.;  (бойлер) - ремонт та гідравлічне випробування системи опалення: ремонт засувок Ду100 - 5 шт., ремонт кранів Ду20 - 6 шт., Ду15 - 7 шт., заміна кранів кульових Ду15 - 4 шт., Ду20 - 3 шт.; кв.169 – часткова заміна трубопроводу опалення Ду20 - 1 м.п., різьба Ду20 - 1 шт., згін Ду20 - 2 шт.  (2 під., 17-ий поверх) - ремонт трубопроводу опалення: заміна засувок Ду65 - 2 шт., встановлення збросніка - 2шт., різьба Ду15 – 2 шт., кран кульовий Ду15 – 2 шт., перехід Ду63/50 – 2 шт., вставка Ду50 - 1,0 м.п. (2 під.) - набивка сальників на засувках опалення Ду63 - 1 шт.   кв.170 – заміна трубопроводу водовідведення Ду110 – 0,5 м.п., хрестовина Ду110 – 1 шт., компенсатор Ду110 – 1 шт., перехід Ду124/110 – 2 шт. пл. та гума, перехід Ду110вн – 1 шт. Поточний ремонт покрівлі: (2 під.) – 5 кв.м. (1 під., 1 та 14 поверхі) – ремонт під’їзду. Ремонт запірних пристроїв місць встановлення генераторів. Фарбування урн (місто) – 2 шт.   Фарбування лавок прибудинкові – 15 шт. Фарбування елементів на дитячому майданчику.  Фарбування альтанки – 1 шт. Фарбуванні майданчиків для білизни.   (2п.) – ремонт огорожі квітників (ел. зварювання).  Ремонт перекладини билізнянного майданчику - 1 шт./ел. зварювання/. На дитячому майданчику ремонт гойдалки, заміна дер.планок.  На майданчику для сміттєвих контейнерів ремонт покриття, вирубання, підсипання, цементне стягування – 3 кв.м. Зафарбування написів наркотичного змісту на фасадах будинків – 1 кв.м.  Ремонт 2-х секцій огорожі газону, електрозварювальні роботи. (вхід в Укриття) – ремонт, цементне стягування – 1,5 кв.м. Ремонт огорожі майданчику для сміттєвих контейнерів, проф.труба 60х60 – 18 м.п., 40х40 – 6 м.п., мет. лист (просічно-витяжний) розміром 2,5х1,25 – 2 шт., проф.труба 40х40 – 12 м.п.  Розбирання будови для генератору на прибудинковій території. Виготовлення, фарбування та встановлення антивандальної конструкції (огорожі) для генератора, встановленого на житловий будинок, проф.труба 40х40 – 14 м.п., 40х20 – 34 м.п.   Розбирання бет.генераторної, транспортування та встановлення В. Шума 21.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Заміна приладу обліку ел.ен. в ел. щітовій будинку. Заміна світильників в укритті - 7 шт.  Монтаж кабельної лінії від нового генератора. Обстеження електромереж ліфтового господарства на можливість підключення ліфтів до генератору на випадок відсутності електроенергії.
</t>
  </si>
  <si>
    <t xml:space="preserve">кв.63 - заміна трубопроводу водопостачання Ду25 - 1,0 м.п., заміна крану Ду25 – 1 шт.  (2 під.) - 1 шт. - зняття заглушок на трубопроводі холодного водопостачання, встановлення лічильників обліку води та їх опломбування фахівцями ЧВК.  кв.46 - заміна пошкодженого трубопроводу х/води Ду25 - 1,5 м.п., кран кульовий Ду25 - 1 шт.  Встановлювання ремкомплектів на трубопроводі г/води (5п.) Ду50 – 1 шт., (3 під.) Ду50 – 1 шт., (1під.) Ду25 – 1 шт., (5 під.) Ду25 – 1 шт. Ремонт та підготовка до гідравлічного випробування системи опалення: ремонт засувок Ду80 - 3 шт., Ду50 – 4 шт., ремонт кранів Ду25 - 4 шт., Ду20 - 6 шт., Ду15 - 4 шт.   Ремонт та гідравлічне випробування системи опалення: ремонт засувок Ду80 – 2 шт., Ду50 - 4 шт., ремонт кранів Ду20 - 17 шт., Ду15 - 9 шт., заміна «заглушок» на збросниках стояків Ду20 - 5 шт., Ду15 – 4 шт., заміна кранів кульових Ду15 - 2 шт., Ду20 - 3 шт. (5п.) – заміна трубопроводу каналізації Ду110 - 1,5 м.п., коліно Ду110/45 – 1 шт., заглушка 110 - 1 шт.  (4 під.) - заміна пошкодженого трубопроводу каналізації Ду110 - 0,5 м.п., коліно Ду110х45 – 1 шт.  (3п.) – встановлення замка на двері входу в елеваторний вузол.  (5 під.) - ремонт дверей виходу до покрівлі, арматура Д12 - 1,0 м.п., ел. зварювання.   Ремонт дверей входу  в техпідпілля (6п.) арматура Д10 – 0,5 м.п., замок – 1 шт. На дитячому майданчику ремонт стойок гойдалки, електрозварювальні роботи, ремонт 2-х гойдалок, заміна підшипників, ремонт лави для відпочинку, заміна рейки.  Фарбування лавок прибудинкові – 11 шт.  Ремонт лавок прибудинкові – 4 лавки (7 рейок). На дитячому майданчику демонтаж елементів, транспортування на Олександрійську 2-б.  Зафарбовування написів на фасадах будинків -  3,5 кв.м. Ремонт огорожі майданчику для сміттєвих контейнерів, проф.труба 40х40 – 12 м.п., 40х20 – 2 м.п. Ремонт огорожі майданчика для сміттєвих контейнерів, встановлення 2-х листів мет.профілю, електрозварювальні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</si>
  <si>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Поточний ремонт водостічної системи житлового будинку з адресою: вул. Паркова, 10 (Ду116 - 55,4 м.п.) - 603 53,15 грн.</t>
  </si>
  <si>
    <t xml:space="preserve">кв.89 - заміна пошкодженого трубопроводу х/води Ду25 - 1,0 м.п.   1 шт. - зняття заглушок на трубопроводі холодного водопостачання, встановлення лічильників обліку води та їх опломбування фахівцями ЧВК.  Встановлення лічильників для поливу 1 під.; (8 під.) - встановлення лічильника на поливальний трубопровід.  кв.116 - заміна пошкодженого трубопроводу водопостачання Ду20 - 1,0 м.п.  Встановлення ремкомплектів на трубопроводах г/води (6 під.) Ду69 - 1 шт.  В ел. вузлу демонтаж шайби для виконання робіт по збільшенню діаметру з наступним встановленням. (6п.) – заміна трубопроводу Ду50 - 1 м.п., засувки Ду50 - 1 шт., фланец Ду50 - 1 шт., перехід сталевий Ду57х45 - 2 шт., різьба коротка Ду40 - 2 шт. Ремонт та гідравлічне випробування системи опалення: ремонт засувок Ду80 - 3 шт., Ду50 - 5 шт., ремонт кранів Ду20 - 34 шт., Ду15 - 9 шт.  кв.36 - заміна частки трубопроводу водовідведення Ду110 - 1,0 м.п., муфта Ду110 - 1 шт.   кв.66 – ремонт каналізації, заміна трійник Ду110/50 – 1 шт., компенсатор Ду110 – 1 шт.   (7 під.) - заміна пошкодженого трубопроводу водовідведення Ду110 – 2 м.п., перехід Ду124/110 - 1 шт., трійник Ду110/45 – 1 шт., коліно Ду110/45 – 1 шт., заглушка Д110 – 1 шт. Встановлення «заглушок» на каналізаційні трубопроводи (8 під.) Ду110 - 1 шт. (1п.) - виготовлення, фарбування та встановлення огорожі газону, арматура Д12 – 25 м.п.  (5,6,7пп.) - демонтаж старих мет. конструкцій, електрозварювальні роботи.  (7 під.) - ремонт арки, укріплення стойки 1 шт., електрозварювальні роботи. Фарбування лавок прибудинкові – 16 шт. Ремонт лавок прибудинкові – 8 лавок (17 рейок). (1 під.) – ремонт огорожі газону (ел. зварювання). Ремонт огорожі майданчику для сміттєвих контейнерів, проф.труба 40х40 – 12 м.п., 40х20 – 2 м.п. Ремонт огорожі майданчика для сміттєвих контейнерів, встановлення 2-х листів мет.профілю, електрозварювальні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</si>
  <si>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кв.46 – заміна трубопроводу водопостачання Ду25 - 1 м.п.   (3 під.) - заміна пошкодженого трубопроводу х/води Ду25 - 1,5 м.п., коліно Ду25х90 - 1 шт., кран кульовий Ду25 - 1 шт., Ду15 - 1 шт.  кв.23 - встановлення крана кульового Ду15 – 1 шт. на трубопроводі водопостачання.  (2 під.) - заміна пошкодженого трубопроводу х/води Ду25 - 0,5 м.п., кран кульовий Ду25 - 1 шт.   (2 під.) - заміна крана кульового на стояку водопостачання Ду25 - 1 шт.  кв.89 - заміна пошкодженого трубопроводу водопостачання Ду20 - 2,0 м.п.  (7 під.) - заміна пошкодженого трубопроводу х/води Ду80 - 1,0 м.п.  кв.116 – заміна трубопроводу водопостачання Ду25 – 2 м.п., кран кульовий Ду25 – 1 шт.  (5п.) – встановлення ремкомплектів на трубопроводах гарячої води  Ду50 - 1 шт. Встановлення ремкомплектів на трубопроводах г/води (5під.) Ду40 – 1 шт., Ду50 - 1 шт. кв.19 - заміна пошкодженого трубопроводу опалення Ду20 - 1,0 м.п. Ремонт та гідравлічне випробування системи опалення: ремонт засувок Ду80 - 4 шт., ремонт кранів Ду20 - 11 шт., Ду25 - 4 шт., заміна «заглушок» на збросниках стояків Ду15  -6 шт., Ду20 – 2 шт., заміна кранів кульових Ду15 - 4 шт., Ду25 - 1 шт. кв.77 – заміна крану «Маєвського». Встановлення на «збросниках» опалення кранів кульових (1 під.) Ду15 – 3 шт., (8 під.) Ду15 – 2 шт.  Встановлення каналізаційних заглушок (8п.) Ду110 – 1 шт.   кв.51 - заміна каналізаційного трійнику Ду110/50 - 1 шт.   (1 під.) - прочищення та заміна пошкодженого трубопроводу водовідведення Ду110 - 0,5 м.п.; кв.6/10 – заміна трубопроводу каналізації через міжповерхове перекриття Ду110 - 2 м.п., перехід Ду124/110 - 1 шт., перехід вставний Ду110/110 - 1 шт., компенсатор Ду110 - 1 шт.   (7-8 під.) - заміна пошкодженого трубопроводу каналізації Ду110 - 12,0 м.п., коліно Ду110х45 – 2 шт., трійник Ду110х45 – 2 шт., перехід Ду124/110 - 2 шт., ревізія Ду110 - 2 шт., заглушка Ду110 – 2 шт.  (4 під.) - ремонт дверей входу в підпілля з установкою замка - 1 шт.  Фарбування лавок прибудинкові – 24 шт.   Ремонт лавок прибудинкові – 8 шт. (рейок – 13 шт.). Фарбування елементів дитячих майданчиків. Фарбування килимовибивалка – 1 шт.  Фарбування майданчиків для білизни – 4 шт. (18 стойок). (8 під.) - ремонт огорожі газону /ел. зварювання/.  Зафарбування написів наркотичного змісту на фасадах будинків – 1,5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</si>
  <si>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(2 під.) - заміна трубопроводу водопостачання Ду25 - 1,5 м.п., кран Ду25 – 1 шт.   (2 під.) - заміна пошкодженого трубопроводу х/води Ду32 - 1,0 м.п., муфта Ду32 - 1 шт., коліно Ду25х25 - 2 шт.   кв.51 - заміна пошкодженого трубопроводу водопостачання Ду15 - 0,5 м.п., кран кульовий Ду15 – 1 шт.; кв.51 -  ремонт трубопроводу водопостачання, заміна відсічного крану Ду15 – 1 шт.  кв.35 - заміна трубопроводу х/води Ду15 - 1,0 м.п., кран кульовий Ду15 – 1 шт.  (2 під.) - заміна пошкодженого трубопроводу х/води Ду40 - 2,0 м.п., сталь. різьба Ду40 - 2 шт.  Набивка сальників на засувках опалення: Ду50 - 2 шт.  кв.51 - заміна пошкодженого трубопроводу опалення Ду25 - 1,5 м.п. Ремонт та гідравлічне випробування системи опалення: ремонт засувок Ду80 - 4 шт., ремонт кранів Ду20 - 18 шт., Ду25 - 4 шт.  (1п.) – заміна трубопроводу каналізації Ду50 - 1,5 м.п., коліно Ду50х45 – 2 шт., перехід Ду110/50 – 1 шт.  (1 під.) - заміна пошкодженого трубопроводу каналізації Ду50 - 1,0 м.п., коліно Ду50х45 - 2 шт., заглушка Ду50 - 2 шт. Поточний ремонт покрівлі: кв.29 – 7 кв.м.  Фарбування лавок прибудинкові –  12 шт.   Ремонт лавок прибудинкові – 5 шт. (рейок – 6 шт.).  Фарбування елементів на дитячому майданчику.  Ремонт огорожі спорт. Майданчику, ел. зварювання. Зафарбування написів наркотичного змісту на фасадах будинків – 1,5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Заміна лічильника з ДТЄК в ВРЩ-0,4кВ на житловом будинку. </t>
  </si>
  <si>
    <t xml:space="preserve">(2під.) - заміна частки трубопроводу водопостачання Ду57 - 1,0 м.п.  кв.50 - заміна пошкодженого трубопроводу х/води Ду25 - 1,0 м.п., перехід Ду32х1*- 1 шт., муфта Ду25 - 1 шт.   кв.78 - встановлення крана кульового Ду15 – 1 шт. на трубопроводі водопостачання.   Встановлення ремкомплектів на трубопроводи х/води: (5 під.) Ду80 - 1 шт.   Встановлення лічильників на поливальні трубопроводи: 4 під.  (5 під.) – ремонт трубопроводу водопостачання, встановлення ремкомплекту Ду89 – 1 шт.  Встановлення ремкомплектів на трубопроводах х/води (6 під.) Ду25 – 1 шт. (5 під.) - заміна пошкодженого трубопроводу х/води Ду57 - 2,0 м.п., Ду32 - 1,0 м.п., різьба Ду32 - 2 шт., перехід Ду100.  Встановлення ремкомплектів на трубопроводах г/води: (2 під.) Ду40 – 1 шт.  (6 під.)  Ду50 - 1 шт.  (5 під.) - відновлення постачання опалення на сходові клітини Ду15 - 2,0 м.п., кран кульовий Ду15 - 1 шт. Ремонт та гідравлічне випробування системи опалення: ремонт засувок Ду80 - 4 шт., Ду50 - 6 шт., ремонт кранів Ду20 - 41 шт., Ду15 - 8 шт.   (3 під.) – заміна пошкодженого трубопроводу опалення Ду20 – 1 м.п., заміна крану кульового Ду20 – 1 шт., Ду15 – 1 шт. Заміна на «збросниках» кранів кульових: (4 під.) Ду15 - 1 шт. кв.66/підпілля - заміна пошкодженого трубопроводу водовідведення Ду110 - 3,0 м.п., компенсатор Ду110 - 1 шт., перехід Ду110/124 - 1 шт., коліно Ду110х45 – 1 шт.; кв.90 – заміна трубопроводу каналізації Ду110 - 1,5 м.п., перехід Ду124/110 – 1 шт., перехід вставний Ду110/110 - 1 шт., компенсатор Ду110 - 1 шт.   Встановлення каналізаційних «заглушок» (2п.) Ду110 - 1 шт.  кв.90 - заміна пошкодженого трубопроводу каналізації Ду110 - 1,0 м.п.  Встановлення заглушек на трубопроводу водовідведення (4 під.) Ду110 – 1 шт. Поточний ремонт покрівлі: кв.128 – 5 кв.м., ремонт водоприймальної воронки.  Ремонт дверей і люків входу до підпілля (4під.), встановлення замку – 1 шт.  Фарбування лавок прибудинкові – 16 шт.  Ремонт лавок прибудинкові – 2 шт. (рейок – 4 шт.).   Фарбування елементів на дитячому майданчику.  (8 під.) – демонтаж металоконструкції.   Зафарбування написів наркотичного змісту на фасадах будинків – 1,5 кв.м.  (8 під.) – облаштування комори для інвалідного візка під сходовим маршем, лист OSB – 2 шт., виготовлення та встановлення дверного блоку, фарбування.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</si>
  <si>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Поточний ремонт водостічної системи житлового будинку за адресою: вул. Паркова 18 (Ду160 - 107,4 м.п.) - 108 599,76 грн. </t>
  </si>
  <si>
    <t xml:space="preserve">Встановлення лічильників для поливу 4 під.  (5 під.) - встановлення ремкомплекту на трубопроводі г/води Ду50 - 1 шт.  Встановлення ремкомплекту на трубопроводах г/води: (4 під.) Ду25 – 1 шт. Ремонт засувок в елеваторних вузлах, набивання сальників: Ду80 – 2 шт.  в ел. вузлу демонтаж шайби для виконання робіт по збільшенню діаметру з наступним встановленням.   Ремонт та гідравлічне випробування системи опалення: ремонт засувок Ду80 - 4 шт., ремонт кранів Ду20 - 32 шт., Ду25 - 44 шт.  Заміна на «збросниках» системи опалення  кранів кульових: (5 під.) Ду15 - 1 шт. (3 під.) - заміна трубопроводу водовідведення Ду110 - 0,5 м.п., трійник Ду110х45 - 1 шт., перехід Ду124/110 - 1 шт.   (6 під.) - встановлення «заглушки» Ду110 - 1 шт. на трубопроводі каналізації.  (5 під.) - заміна пошкодженого трубопроводу водовідведення Ду110 - 0,5 м.п., перехід Ду124/110 - 1 шт., заглушка Ду110 - 1 шт.  Поточний ремонт покрівлі: кв.20, 34 – 3 кв.м., ремонт цегляної кладки оголовків 5-ти вентиляційних каналів. Ремонт дверей входу в підпілля (4під.) - арматура 10мм - 0,5 м.п., встановлення замку – 1 шт. (8 під.) - ремонт дверей входу в підпілля та встановлення замку /ел.зварювання/.   (1під.) - відновлення огорожі газону, арматура 12 - 3,0 м.п., ел. зварювання.   Фарбування лавок прибудинкові – 21 шт.  Ремонт лавок прибудинкові – 4 лавки (5 рейок). Фарбування елементів на дитячому майданчику.   Ремонт лавок прибудинкових – 2 лавки (4 рейки). Фарбуванні майданчиків для білизни.  8 під. - демонтаж металоконструкцій, електрозварювальні роботи.  Дитячий ігровий комплекс – ремонт настилу та ігрових елементів. Зафарбовування написів на фасадах будинків - 5,0 кв.м.  На дитячому майданчику ремонт каруселі, електрозварювальні роботи.  (3 під.) – ремонт водосточної труби, встановлення воронки, відводу.  (кв.57) – прочищення водостічних труб, водоприймальних воронок.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</si>
  <si>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 "Капітальний ремонт житлового будинку (заміна вхідних дверей в під'їзд) за адресою: м. Чорноморськ, вул. Паркова, 20 (2 підїзд) - 35 031,85 грн. (бюджет)</t>
  </si>
  <si>
    <t xml:space="preserve">(Укриття) - заміна пошкодженого трубопроводу водопостачання Ду15 - 1,5 м.п.  кв.42 – заміна трубопроводу водопостачання Ду15 - 0,5 м.п., кран кульовой Ду15 -1 шт.  кв.50 - заміна трубопроводу опалення ППДу25 - 1,0 м.п., коліно Ду25х90 – 2 шт., американка Ду25х3/4*- 2 шт., різьба Ду3/4* - 2 шт.  Ремонт та  гідравлічне випробування системи опалення: ремонт засувок Ду80 - 4 шт., ремонт кранів Ду20 - 11 шт., Ду25 - 4 шт.  (2 під.) - заміна каналізації часткова Ду50 - 1,0 м.п., коліно Ду50х45 - 1 шт.   В Укритті ремонт насоса «соло-ліфту», заміна переходу – 1 шт.   Встановлення заглушек на трубопроводу водовідведення Ду110 (1під.) - 1 шт.  (1 під.) - заміна пошкодженого трубопроводу водовідведення Ду50 - 1,0 м.п., коліно Ду50х90 – 1 шт, муфта Ду50/50 - 1 шт. кв.25 – заміна трубопроводу каналізації Ду110 - 0,5 м.п., компенсатор Ду110 - 1 шт., трійник Ду110/110/50х45 – 1 шт. Укриття – заміна насосу «Сололіфт» - 1 шт.   В укритті ремонт трубопроводу водовідведення, ремонт змивного бачку.  (У двірницькій) – демонтаж гипсокартонної стіни, підготовчі роботи для заміни трубопроводу водовідведення.  (2 під.) - заміна пошкодженого трубопроводу каналізації Ду50 - 1,0 м.п., коліно Ду50х45 - 2 шт., муфта Ду50 - 2 шт.  Встановлення замків (2п.) підвал – 1 шт.  Фарбування лавок прибудинкові – 4 шт.  Фарбування урн прибудинкові – 4 шт. Ремонт лавок (місто) – 3 лавки (4 рейки). Фарбування елементів дитячих майданчиків – 1 шт.   (2під.) - демонтаж старого кабелю зв’язку на покрівлі - 2 шт. Зафарбування написів наркотичного змісту на фасадах будинків – 3 кв.м. (2 під.) – улаштування додаткової сходинки виходу на покрівлю.  (2 під.) – ремонт плиточного покриття входу до під’їзду – 5 шт. (30х30).  Транспортування та встановлення лав (демонтованих з парку Приморський) в Укритті - 2 шт. 1 під. – ремонт, закріплення трубопроводу внутрішнього водостоку, хомут – 1 шт., встановлення коліна.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</si>
  <si>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 "Поточний ремонт, заміна безтраншейним способом випуску госпфекальної  каналізації за адресою: м. Чорноморськ, вул. Паркова, 22 (4 під.)" Ду110 – 8 м.п. (31 316,26 грн.).  </t>
  </si>
  <si>
    <t xml:space="preserve">(3 під.) - заміна пошкодженого трубопроводу водопостачання Ду25 - 1,0 м.п.  Встановлення лічильників на поливальні трубопроводи: 8 під. кв.7/14 - заміна пошкодженого трубопроводу х/води Ду25 - 3,0 м.п., різьба Ду25 - 2 шт., кран кульовий Ду25 - 1 шт.  (2 під.) - заміна пошкодженого трубопроводу водопостачання Ду40 - 2,0 м.п., сталь різьба Ду40 - 2 шт.  (6 під.) - заміна пошкодженого трубопроводу водопостачання Ду57 - 1,0 м.п.  кв.11/15 - заміна пошкодженого трубопроводу водопостачання Ду25 - 2,0 м.п., гебо-муфта Ду25 – 1 шт., американка Ду20х25 – 1 шт., перехід Д20х25 – 1 шт., заглушка Ду32 – 1 шт., заглушка Ду25 – 1 шт.  Встановлення ремкомплектів на трубопроводах гарячої води (4п.) Ду50 - 1 шт., Ду40 – 2 шт., (4 під.) Ду25 - 1 шт. Ремонт засувок в елеваторних вузлах, набивання сальників: Ду80 – 2 шт.  Ремонт та гідравлічне випробування системи опалення: ремонт засувок Ду80 - 2 шт., Ду50 - 4 шт., ремонт кранів Ду20 - 44 шт., Ду15 - 10 шт., заміна кранів кульових Ду20 - 1 шт., Ду15 - 2 шт., заміна «заглушок» на збросниках стояків Ду15 - 4 шт., Ду20 – 1 шт.  Заміна «заглушек» Ду15 на «збросніках» стояків опалення в підпіллях - 1 шт.  кв.67/підпілля - заміна каналізації Ду110 - 2,0 м.п., компенсатор Ду110 - 1 шт., перехід Ду110/124 - 1 шт.   (4 під.) - заміна пошкодженого трубопроводу каналізації Ду110 - 1,0 м.п., муфта Ду110 - 1 шт.  (5 під.) - заміна пошкодженого трубопроводу водовідведення Ду110 - 1,5 м.п.   Встановлення каналізаційних «заглушок»(4 п.) Ду110 - 1 шт.  (2 під.) – ремонт, часткова заміна трубопроводу водовідведення по підвалу, відвід Ду110х45 – 2 шт.  (2п) – часткова заміна трубопроводу водовідведення по підвалу перехід Ду124х110пл. – 1 шт., Ду124х110рез. – 1 шт., колено Ду110/45 – 2 шт.  (6 під.) - заміна пошкодженого трубопроводу водовідведення Ду110 - 1,0 м.п., трійник Ду110/110х45 - 2 шт.  Ремонт лавок прибудинкові – 6 шт. (9 рейок).  Фарбування лавок прибудинкові – 16 шт. Зафарбовування написів на фасадах будинків -  9,0 кв.м. (1 під.) – ремонт водосточної труби, встановлення воронки, відводу, труби – 1,5 м.п. з використанням автовишки КП Зеленгосп.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</si>
  <si>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"Поточний ремонт, заміна безтраншейним способом випуску госпфекальної  каналізації за адресою: м. Чорноморськ, вул. Паркова, 24 (2 під.)" Ду110 – 8 м.п. (31 316,26 грн.).   "Капітальний ремонт житлового будинку (заміна вхідних дверей в підїзд, улаштування домофону) за адресою: м. Чорноморськ, вул. Паркова, 24 (3 підїзд) - 54 025,53 грн. (бюджет).  </t>
  </si>
  <si>
    <t xml:space="preserve">(2під.) - заміна трубопроводу водопостачання Ду25 - 1,0 м.п.  (6 під.) - заміна пошкодженого трубопроводу водопостачання Ду50 - 1,5 м.п.    Встановлення лічильників поливу квітників, опломбування поливних лічильників.  кв.125 – заміна трубопроводу водопостачання Ду25 - 1 м.п.  (5п.) – заміна трубопроводу водопостачання Ду57 - 1,5 м.п.  Встановлення ремкомплектів на трубопроводи х/води: (2 під.) Ду63 – 1 шт., (6 під.) Ду40 – 1 шт. Встановлення ремкомплектів на трубопроводи г/води: (1під.) Ду32 -1 шт., (2 під.)  Ду40 – 1 шт., (3 під.) Ду25 – 2 шт., (3під.)  Ду32 – 1 шт., (4 під.) Ду63 - 1 шт. Ремонт та  гідравлічне випробування: ремонт засувок Ду80 - 3 шт., Ду50 - 4 шт., ремонт кранів Ду20 - 41 шт., Ду15 - 10 шт., заміна кранів кульових Ду20 - 2 шт., Ду15 - 2 шт., заміна «заглушок» на збросниках стояків Ду15 - 4 шт., Ду20 – 3 шт. Встановлення заглушек (3п.) Ду110 – 1 шт.  (7 під.) - заміна пошкодженого трубопроводу каналізації Ду110 - 1,0 м.п., перехід Ду110/124 - 1 шт., муфта Ду110 -1 шт.   (5 під.) - заміна пошкодженого трубопроводу водовідведення Ду110 - 1,0 м.п., коліно Ду110/45 - 1 шт., заглушка Ду110 - 1 шт. (5 під.) - заміна пошкодженого трубопроводу водовідведення Ду110 - 2,0 м.п., компенсатор Ду110 - 1 шт., муфта Ду110 - 1 шт.  (2 під.) - заміна пошкодженого трубопроводу водовідведення Ду110 – 1 м.п.   (4п.) – заміна трубопроводу каналізації Ду110 - 1,5 м.п., перехідник Ду124/110 - 1 шт., заглушка Ду110 - 1 шт.  Встановлення «заглушок» каналізаційних (5 під.) Ду110 – 1 шт. Встановлення каналізаційних заглушок (4 під.) Ду110 - 1 шт.  кв.26/29 – обстеження трубопроводу водовідведення, усунення причини підтоплення кв.26, заміна сифону.(1під.) - встановлення замка на вхід в підпілля - 1 шт.   (8 під.) – ремонт дверей та встановлення замка на вхід в підпілля – 1 шт. Фарбування лавок прибудинкові – 15 шт.  Ремонт лавок прибудинкові – 2 шт. (рейок – 3 шт.). Фарбування елементів на дитячому майданчику. Зафарбовування написів – огорожа майданчика для контейнерів – 20 кв.м., Зафарбовування наркотичних написів на фасадах ж/будинків – 4 кв.м. кв.46 – закладання вікна на балконе плитою OSB – 1 кв.м. пошкодженого під час нічної атаки.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</si>
  <si>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Встановлення ремкомплектів на трубопроводах холодної води (3п.) Ду50 - 1 шт.  (3 під.) - заміна пошкодженого трубопроводу водопостачання Ду50 - 1,5 м.п.  кв.95 - заміна пошкодженого трубопроводу водопостачання Ду15 - 0,5 м.п., кран кульовий Ду15 -1 шт.  (2п.) - встановлення та опломбування лічильників  на поливальних трубопроводах.  кв.2/3 – заміна пошкодженого трубопроводу водопостачання Ду25 – 1,5 м.п., кран кульовий Ду25 – 1 м.п.    кв.2 - заміна трубопроводу водопостачання ПП американка Ду40х1 ¼ - 3 шт., коліно Ду40х45 - 3 шт., коліно Ду40х90 – 1 шт.  кв.60 - заміна пошкодженого трубопроводу х/води Ду25 - 1,0 м.п.   (2 під.) - заміна пошкодженого трубопроводу водопостачання Ду57 - 2,0 м.п., кран кульовий Ду25 – 1 шт.   Встановлення ремкомплекту на трубопроводі г/води (4 під.) Ду40 – 1 шт., (2 під.) Ду32 – 1 шт., (1 під.) Ду40 - 1 шт. Ремонт засувок ц/о, набивка сальників Ду50 - 2 шт. Ремонт та гідравлічне випробування системи опалення: ремонт засувок Ду80 - 2 шт., Ду50 - 4 шт., ремонт кранів Ду20 - 28 шт., Ду15 - 7 шт.   (5під.) - заміна трубопроводу водовідведення Ду110 - 2,0 м.п., компенсатор Ду110 - 1 шт., коліно Ду110х45 - 1 шт.   (5 під.) - заміна трубопроводу водовідведення Ду110 - 0,5 м.п., перехід Ду110/124, коліно Ду110/110х45 – 2 шт. Встановлення «глушок» Ду110 - 1 шт. на каналізаційний трубопровід (4п.),  (3 під.) Ду110 - 1 шт.  Встановлення замків (2 під.) – вихід на дах – 1 шт. Прибирання та вивіз автомобільних шин з прибудинкової території. Фарбування лавок прибудинкові – 16 шт.  Ремонт лавок прибудинкові – 2 шт. (рейок – 6 шт.). Фарбування елементів дитячих майданчиків. Зафарбування написів наркотичного змісту на фасадах будинків – 2,5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</si>
  <si>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 "Поточний ремонт, заміна випуску госпфекальної каналізації за адресою: м. Чорноморськ, вул. Паркова, 2 (1 підїзд)" Ду110 – 8 м.п. (30 494,94 грн.).</t>
  </si>
  <si>
    <t>кв.11 - заміна крана кульового Ду15 – 1 шт. на трубопроводі водопостачання.   Встановлення ремкомплектів на трубопроводах гарячої води Ду40 - 3 шт.  Ремонт засувок ц/о, набивка сальників Ду50 - 2 шт.  Ремонт та гідравлічні випробування системи опалення: заміна кранів кульових Ду15 - 2 шт., заміна заглушек Ду15 - 2 шт., ремонт засувок Ду80 – 2 шт., Ду50 – 3 шт., ремонт кранів Ду25 - 4 шт., Ду20 - 3 шт., Ду15 - 2 шт. Заміна «заглушок» Ду15 на «збросниках» стояків опалення в підпіллях - 1 шт.  Заміна на «збросниках» системи опалення  кранів кульових: (1 під.) Ду15 - 1 шт.  Заміна трубопроводу водовідведення Ду110 - 6,0 м.п., Ду50 - 1,0 м.п., перехід Ду72/50 – 2 шт., трійник Ду110х45 – 4 шт., коліно Ду110х45 – 4 шт., коліно Ду50 – 3 шт заглушка Ду110 – 2 шт.  кв.48 - заміна пошкодженого трубопроводу фонової труби Ду110 - 3,0 м.п.  Ремонт лавок прибудинкові – 2 лавки (3 рейки),  Фарбування лавок прибудинкові – 4 шт.  Фарбування альтанки – 1 шт.  Фарбуванні майданчиків для білизни. Скління вікон в машинному відділенні – 0,5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</si>
  <si>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Встановлення лічильника на трубопроводі для поливу – 1шт.  Монтаж поливального трубопроводу: трійник перехідний Ду15х15х15 - 1 шт., муфта з внутрішньою різьбою  1* 1/2" – 2 шт., муфта з зовнішньою різьбою 16*1/2*- 2 шт., кран кульовий  Ду15 - 2 шт., труба МТП 16*2 мм - 10,0 м.п.  кв.37 - заміна крана кульового Ду15 – 1 шт. на вводі х/водопостачання.   Встановлення ремкомплектів на трубопроводах г/води Ду32 – 1 шт.  Ремонт та гідравлічне випробування системи опалення: заміна кранів кульових Ду15 - 3 шт., заміна заглушек Ду15 - 3 шт., ремонт засувок Ду80 - 2 шт., Ду50 - 2 шт., ремонт кранів Ду25 - 5 шт., Ду20 - 7 шт., Ду15 - 3 шт., заміна засувок на елеваторі Ду50 - 2 шт. /обратка/. Заміна пошкодженого трубопроводу опалення /елеватор/ Ду50 - 0,5 м.п., фланець Ду50 - 2 шт., кран кульовий Ду15 - 1 шт.   кв.48/ технічний поверх - заміна пошкодженого каналізаційного трубопроводу Ду110 - 2,0 м.п. через перекриття, муфта Ду110 - 1 шт., перехід Ду110/124 - 1 шт., компенсатор Ду110 - 1 шт.   Фарбування лавок - 4 шт. (місто).  Фарбування урн (місто) – 6 шт.  Ремонт лавок прибудинкові – 2 лавки (6 рейок). Фарбування лавок прибудинкові – 4 шт. (1 поверх) - укріплення зливового трубопроводу кріплення Д110 - 1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</si>
  <si>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"Поточний ремонт, безтраншейним способом випуску госпфекальної каналізації за адресою: м. Чорноморськ, проспект Миру, 11 (1 під.)" Ду110 – 7 м.п. (27 653,96 грн.). </t>
  </si>
  <si>
    <t xml:space="preserve">кв.2 - заміна пошкодженого трубопроводу водопостачання Ду25 - 1,0 м.п., кран кульовий Ду25 - 1 шт.  (3 під.) - зміна пошкодженого трубопроводу х/води Ду25 - 1,0 м.п., кран кульовий Ду25 - 1 шт.  (1 під.) - заміна пошкодженого трубопроводу х/води Ду50 - 0,5 м.п.  (4п.) – заміна трубопроводу водопостачання Ду40 – 1 м.п. Встановлення ремкомплектів на трубопроводах гарячої води (2п.) Ду25 – 1 шт., (4 під.) Ду32 - 1 шт., (2п.) Ду50 - 1 шт., (4 під.) Ду63 - 1 шт.  (4 під.) - заміна трубопроводу опалення Ду20 - 1,0 м.п, кран Ду20 – 1 шт.   Набивка сальників на засувках опалення: Ду50 - 1 шт.  Ремонт та гідравлічне випробування системи опалення: ремонт засувок Ду80 - 2 шт., Ду50 - 2 шт., ремонт кранів Ду20 - 19 шт., Ду15 - 12 шт., заміна кранів кульових Ду20 - 1 шт., Ду15 - 2 шт.  Заміна кранів кульових на стояках опалення кв.2/14 Ду15 - 2 шт.  (4 під.) - заміна трубопроводу водовідведення Ду110 - 2,0 м.п., ревізія Ду110 - 1 шт.  (4під.) - заміна пошкодженого трубопроводу каналізації Ду110 - 0,5 м.п., перехід Ду124/110 - 1 шт., коліно Ду110х45 - 1 шт.    Встановлення заглушек на трубопроводу водовідведення Ду110 (4під.) – 1 шт.   (1 під.) - заміна пошкодженого трубопроводу водовідведення Ду110 - 1,0 м.п., перехід Ду110/124 – 1 шт., муфта Ду110 - 1 шт. Встановлення заглушок на трубопроводах каналізації (2, 4п.) - 2 шт.  Фарбування урн місто –  4 шт. Ремонт лавок місто – 7 лавок (7 рейок). Фарбування лавок - 10 шт. (місто). Фарбування лавок прибудинкові – 4 шт. Зафарбовування написів на фасадах будинків - 4,0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</si>
  <si>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кв.27 - встановлення крана кульового Ду15 – 1 шт. на трубопроводі х/води.   3 шт. - зняття заглушок на трубопроводі холодного водопостачання, встановлення лічильників обліку води та їх опломбування фахівцями ЧВК.  кв.5 – заміна пошкодженого трубопроводу х/води Ду25 - 1,0 м.п., різьба Ду25 - 2 шт.  Набивка сальників на засувках опалення: Ду50 – 1 шт., кв.77 – заміна трубопроводу опалення Ду20 - 2 м.п., кран кульовий Ду20 - 1 шт., сталь різьбова Ду20 - 2 шт. Ремонт та гідравлічне випробування системи опалення: ремонт засувок Ду80 - 2 шт., Ду50 - 3 шт., ремонт кранів Ду20 - 9 шт., Ду15 - 4 шт.  кв.12,8 - заміна пошкодженого трубопроводу водовідведення стояка Ду110 - 6,0 м.п., муфта вставна Ду110/110 – 1 шт., ревізія Ду110 - 1 шт., компенсатор Ду110 - 1 шт., трійник Ду110/110/50 - 2 шт., хрестовина Ду110х90 - 1 шт. Встановлення заглушек Ду110 – 1 шт.  (5 під.) - заміна пошкодженого трубопроводу водовідведення Ду110 - 1,5 м.п., перехід Ду124/110 - 1 шт.  Заміна пошкодженого трубопроводу каналізації Ду100 - 1,5 м.п.  Встановлення каналізаційних заглушок (5 під.) Ду110 – 1 шт.  кв.36 – ремонт, часткова заміна трубопроводу водовідведення Ду110 – 1,5 м.п., компенсатор – 1 шт.  кв.34 - заміна пошкодженого трубопроводу водовідведення Ду110 – 0,5 м.п., трійник Ду110/50х45 – 1 шт.  Встановлення «заглушок» на каналізаційні трубопроводи (3 під.) Ду110 - 1 шт., (5під.) Ду110 - 1 шт. (2 під.) – виготовлення та встановлення дверей на покрівлю: лист метал 0,5 кв.м., куток 35х35 - 6,0 м.п.  (5 під.) - ремонт дверей виходу на покрівлю, електрозварювальні роботи.  (1під.) - демонтаж самовільної огорожі «кармана» - 1 шт. Фарбування лавок прибудинкові – 8 шт.  Заміна приладу обліку ел.ен. в ел. щітовій будинку.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</si>
  <si>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Встановлення ремкомплектів на трубопроводи х/води: (2 під.) Ду50 – 1 шт.  Встановлення лічильників на трубопроводи поливу квітників.  кв.38 - встановлення крана кульового Ду15 – 1 шт. на трубопроводі х/води.    (1 під.) - монтаж поливального трубопроводу труба МТП 16х2мм - 14,0 м.п., кран кульовий Ду15 - 2 шт., муфта 16х1/2*- 2 шт., коліно ½* - 2 шт., лічильник – 1 шт., фільтр Ду15 – 1 шт., приєднувальний комплект Ду15 - 1 шт.  (2 під.) - заміна пошкодженого трубопроводу водопостачання Ду40 - 2,0 м.п., кран кульовий Ду32 -1 шт.   Встановлення ремкомплектів на трубопроводи г/води (4 під.) Ду32 – 1 шт. Ремонт та  гідравлічне випробування системи опалення: ремонт засувок Ду80 -2 шт., Ду50 - 4 шт., ремонт кранів Ду15 - 9 шт., Ду20 - 22 шт., заміна «заглушок» на збросниках стояків Ду15 - 2 шт., Ду20 – 1 шт., заміна кранів кульових Ду15 - 1 шт., Ду20 - 1 шт. Заміна крана кульового Ду15 - 1 шт. на трубопроводі опалення. Заміна «заглушек» Ду15 на «збросніках» стояків опалення в підпіллях (2під.) - 1 шт.   (4 під.) - заміна частки трубопроводу водовідведення Ду110 - 0,5 м.п., перехід Ду124/110 – 1 шт.  (1 під.) - заміна пошкодженого трубопроводу водовідведення Ду110 - 1,5 м.п., перехід Ду110/124 – 1 шт., коліно Ду110х90 – 1 шт., заглушка Д110 - 1 шт.   кв.51/підпілля - заміна пошкодженого трубопроводу каналізації  Ду110 - 3,5 м.п., ревізія Ду110 – 1 шт., коліно Ду110х45 – 3 шт., трійник Ду110х45 – 1 шт., перехід Ду124/110 - 1 шт.   кв.29 - заміна пошкодженого трубопроводу водовідведення Ду110 - 2,5 м.п., трійник Ду110х45 - 1 шт., перехід Ду124х110 – 1 шт., компенсатор Ду110 – 1 шт.  кв.29 - ремонт каналізації заміна муфта вставна Ду110/110 - 1 шт. Поточний ремонт покрівлі: кв.20, 63, 65, 1, 4, 6під. – л/кл – 10 кв.м.  (1під.) - ремонт дверей входу до підвалу, електрозварювальні роботи.  (1п.) – встановлення замка на двері входу у підвал – 1 шт.   Фарбування лав для відпочинку – 12 шт.   Фарбування урн –  2 шт. Ремонт лавок прибудинкові – 3 лавки  (5 рейок). Фарбуванні майданчиків для білизни.  2п. - встановлення частки водостічної труби - 1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</si>
  <si>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Поточний ремонт водостічної системи житлового будинку: м. Чорноморськ, проспект Миру, 21 (Ду160 - 13 м.п.) - 19 004,36 грн.</t>
  </si>
  <si>
    <t xml:space="preserve">(1 під.) - монтаж поливального трубопроводу: труба МТП 16х2мм - 10,0 м.п., кран кульовий Ду15 - 2 шт., муфта 16х1/2*- 2 шт., коліно ½* - 2 шт., лічильник – 1 шт., фільтр Ду15 – 1 шт., приєднувальний комплект Ду15 - 1 шт.  (підпілля) -  заміна пошкодженого трубопроводу водопостачання Ду15 - 0,5 м.п.  (3п.) – заміна трубопроводу водопостачання Ду40 – 2 м.п.   Встановлювання ремкомплектів на трубопроводі г/води (2 під.) Ду25 – 1 шт.,  (3 під.) Ду40 – 1 шт.,  (3 під.) Ду32 - 1 шт., (2 під.) Ду32 - 1 шт. Ремонт засувок на системі опалення, набивка сальників Ду50-2шт.  Ремонт та гідравлічне випробування системи опалення: ремонт засувок Ду50 - 4 шт., ремонт кранів Ду20 - 14 шт., Ду15 - 4 шт.  Заміна на «збросниках» системи опалення  кранів кульових (4 під.) Ду15 - 1 шт.  (2 під.) - заміна пошкодженого трубопроводу водовідведення Ду110 - 1,5 м.п., перехід Ду110/124 - 1 шт., муфта Ду110 - 1 шт.  (3 під.) - заміна пошкодженого трубопроводу водовідведення Ду110 – 1 м.п., перехід Ду124/110 - 1 шт. трійник Ду110/45 – 2 шт., коліно Ду110/45 – 1 шт.  кв.74 - заміна каналізаційного трубопроводу трійник Ду110х110х50 – 1 шт., труба Ду110 - 0,5 м.п.  (2 під.) - встановлення замку на двері входу в підпілля - 1 шт. Зафарбовування надписів на фасаді будинку - 5,0 м2,  Фарбування лавок місто прибудинкові - 7 шт. Ремонт лавок прибудинкові – 2 лавки (2 рейки).  (1 під.) – прочищення водостічної труби з даху будинку.  кв.6 – заміна відводу водостічної системи із застосуванням спеціалізованого автотранспорту Автовишки (КП «Зеленгосп».).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</si>
  <si>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кв.54 - заміна частки трубопроводу водопостачання Ду20 - 1,0 м.п.   Встановлення ремкомплектів на трубопроводі водопостачання  Ду32 – 1 шт. (4п.) – заміна трубопроводу Ду25 - 1 м.п., кран кульовий Ду25 - 1 шт. Ремонт засувок на системі опалення, набивка сальників Ду50-2шт. Ремонт та  гідравлічне випробування системи опалення: ремонт засувок Ду50 - 4 шт., ремонт кранів Ду20 - 14 шт., Ду15 - 4 шт.  кв.43/підпілля - заміна пошкодженого трубопроводу опалення ППР Ду20 - 1,0 м.п., кран кульовий Ду20 – 1 шт., муфта Ду25х3/4 – 2 шт., муфта Ду25х25 – 1 шт., коліно Ду25х25 – 2 шт., американка ¾*х25 – 1 шт., трійник Ду25х25 - 1 шт.  Заміна на «збросниках» кранів кульових: (3 під.) Ду15 - 2 шт.  (2,3 пп.) - заміна пошкоджених трубопроводів опалення в підпіллі стояки – 3 шт. Ду20 - 2,0 м.п., кран кульовий Ду20 - 3 шт., «заглушки» Ду15 - 3 шт.  (1 під.) - заміна пошкодженого трубопроводу водовідведення Ду110 - 1,0 м.п., муфта Ду110 - 1 шт., перехід Ду110/124 - 1 шт.  (3 під.) - заміна пошкодженого трубопроводу каналізації Ду110 - 1,0 м.п., трійник Ду110х45 - 1 шт., компенсатор 110 - 1 шт.  Встановлення «заглушок» каналізаційних (3 під.) Ду110 – 1 шт. кв.63/ підпілля - заміна пошкодженого трубопроводу каналізації Ду110 - 2,0 м.п., хрестовина Ду110/110/110х67 - 1 шт., перехід Ду124/110 - 1 шт., ревізія Ду110 - 1 шт. Встановлення замків (3 під.) – вхід в підвал – 1 шт.  Зафарбовування надписів на фасаді будинку - 4,0 м2.  Фарбування лавок прибудинкові – 7 шт. Фарбування майданчиків для білизни – 2 шт. (8 стойок). Фарбування турнику – 1 шт. Фарбування елементів на дитячому майданчику.   Фарбуванні майданчиків для білизни.  Дитячий майданчик – ремонт гірки.  встановлення обмежувальних стойок для безпечного проходу мешканців у паркувальному «кармані» житлового будинку по проспекту Миру 23, Прибирання старих автомобільних покришек /12 шт./, зрізування кріплень та вивіз покришек та сміття після виконаних робіт. (3 під.) – встановлення 3-х пл. стойок на паркувальному кармані. (3 під.) – виготовлення, фарбування та встановлення поручню на першому поверсі у під’їзді, труба Ду25 – 2,5 м.п., арматура – 2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</si>
  <si>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(3під.) - заміна кульового крана Ду25 – 1 шт. на трубопроводі водопостачання.   Заміна пошкодженого трубопроводу х/води Ду25 - 1,0 м.п., кран Ду25 – 1 шт.   Встановлення лічильників на трубопроводи поливу квітників.   (2 під.) – монтаж поливального трубопроводу, труба МТП 16х2мм - 8,0 м.п., кран кульовий Ду15 - 2 шт., трійник ду15 – 1 шт., угол Ду15 – 2 шт.  Заміна крану на умивальнику в Укритті.  (3 під.) - заміна пошкодженого трубопроводу водопостачання Ду25 - 1,0 м.п., кран кульовий Ду25 – 1 шт., різьба Ду25 - 1 шт.  Встановлення ремкомплектів на трубопроводи г/води: (2 під.) Ду25 - 1 шт. Ремонт та гідравлічне випробування: ремонт засувок Ду80 - 2 шт., Ду65 - 3 шт., ремонт кранів Ду25 - 5 шт., Ду20 - 12 шт., заміна «заглушок» на збросниках стояків Ду15 - 2 шт., Ду20 – 3 шт., заміна кранів кульових Ду15 - 1 шт., Ду20 - 2 шт.  Встановлення на «збросниках» опалення кранів кульових (4 під.) Ду15 – 2 шт. кв.46 - заміна пошкодженого трубопроводу опалення Ду20 - 1,0 м.п. Встановлення заглушек на трубопроводу водовідведення Ду110 (2під.) - 1 шт. 2 під.- заміна  трубопроводу каналізації Ду110х250 - 1 шт., перехідник Ду124/110 - 1 шт.  кв.12 – ремонт, прочищення та заміна частки трубопроводу водовідведення Ду50 – 0,5 м.п., перехід Ду72х50 – 2 шт.  (1 під.) – заміна пошкодженого трубопроводу каналізації Ду110 - 0,5 м.п., коліно Ду110х45 - 2 шт., перехід Ду110/124 - 1 шт.  Поточний ремонт покрівлі: кв.48 – ремонт примикання к парапету – 6 м.п., кв.14, 15, 34 – 7 кв.м. Ремонт дверей входу в Укриття /ел.зварювання./. Фарбування лавок прибудинкові – 7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</si>
  <si>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(3 під.) - встановлення ремкомплекту на трубопроводі г/водопостачання Ду40 - 1 шт.,  (4 під.) Ду40 – 1 шт., (4 під.) Ду32 - 1 шт., (5 під.) Ду32 - 1 шт.  (5п.) – заміна заглушки Ду15 – 1 шт. на стоку опалення.   Ремонт засувок ц/о, набивка сальників Ду50 - 1 шт.  Ремонт та підготовка до гідравлічного випробування системи опалення: ремонт засувок Ду80 - 2 шт., Ду50 - 5 шт., ремонт кранів Ду20 - 38 шт., Ду15 - 9 шт., заміна «заглушок» на збросниках стояків Ду15 - 3 шт., Ду20 – 2 шт.  кв.11 - заміна пошкодженого трубопроводу опалення Ду20 - 1,0 м.п.  (1 під.) - заміна пошкодженого трубопроводу каналізації Ду110 - 1,0 м.п., перехід Ду110/124 – 1 шт., муфта Ду110 - 1 шт. (2п.) – заміна трубопроводу каналізації Ду110 - 1,5 м.п., коліно Ду110х45 - 2 шт., перехід Ду124/110 - 1 шт., трійник Ду110/110х45 - 1 шт.  (4 під.) – ремонт, часткова заміна трубопроводу водовідведення по підвалу Ду110/250 - 1 шт.  (5п.) – заміна трубопроводу каналізації Ду110 – 1 м.п., трійник Ду110х45 – 1 шт.  (4 під.) - заміна пошкодженого трубопроводу водовідведення Ду110 - 1,0 м.п., коліно Ду110х90 - 1 шт., муфта Ду110 - 1 шт.  Встановлення заглушок на каналізаційних трубопроводах: (4 під.) Ду110 - 1 шт. Поточний ремонт покрівлі: кв.100 – 3 кв.м., ремонт оголовку вентиляційного каналу, закладання тріщини, кв.50 – 5 кв.м., кв.33, 34, 32, 20 – 15 кв.м. примикання к вентиляційним каналам,  кв.64, 65 – 20 кв.м.  Фарбування лавок – 10 шт.  Ремонт лавок – 4 лавки (6 рейок).  Фарбування урн – 3 шт.  Зафарбовування написів на фасадах будинків - 3,5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Заміна приладу обліку ел.ен. в ел. щітовій будинку.  </t>
  </si>
  <si>
    <t xml:space="preserve">(1 під.) – заміна частки трубопроводу водопостачання Ду57 - 1,0 м.п.   (2 п.) - заміна трубопроводу водопостачання Ду32 - 1,0 м.п., кран кульовий Ду32 – 1 шт. Встановлення ремкомплекту на трубопроводі водопостачання (2під.) Ду50 – 1 шт.  Встановлення лічильників на поливальні трубопроводи: 2,5 під. - 2 шт.  Встановлення ремкомплектів на трубопроводи х/води (5 під.) Ду50 – 1 шт.  (1 під.) - заміна пошкодженого трубопроводу водопостачання Ду57 - 1,5 м.п., кран кульовий Ду25 - 1 шт., муфта різьба Ду57 - 1 шт.  Встановлення ремкомплекту на трубопроводі г/водопостачання (2 під.) Ду63 - 2 шт., (4 під.) Ду25 – 1 шт.  Ремонт та  гідравлічне випробування системи опалення: ремонт засувок Ду80 - 2 шт., Ду50 - 3 шт., ремонт кранів Ду20 - 35 шт., Ду15 - 7 шт., заміна «заглушек» на збросниках стояків Ду15 - 2 шт., Ду20 – 1 шт., заміна кранів кульових Ду15 - 1 шт. Встановлення каналізаційних «заглушок» (3п.) Ду110 – 1 шт.,  (6 під.) Ду110 – 1 шт. Ремонт дверей і люків входу до підпілля (6п.) - лист метал. - 0,2 кв.м., куток  35х35 - 1,0 м.п.  Ремонт лавок прибудинкові – 1 лавка (2 рейки). Фарбування лавок прибудинкові – 16 шт. Ремонт лавок на прибудинкових територіях  - 4 лавки (5 рейок). Фарбування елементів на дитячому майданчику. Фарбуванні майданчиків для білизни. На дитячому майданчику ремонт ігрового комплексу, електрозварювальні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</si>
  <si>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(5 під.) - заміна пошкодженого трубопроводу х/води Ду25 - 1,5 м.п., кран кульовий Ду25 - 1 шт.   (5під.) - заміна трубопроводу водопостачання Ду76 - 1,0 м.п. кв.72 - заміна трубопроводу водопостачання Ду25 - 1,0 м.п.   (6 під.) - заміна пошкодженого трубопроводу водопостачання Ду25 - 1,0 м.п., кран Ду25 – 1 шт.  (2 під.) - заміна пошкодженого трубопроводу водопостачання Ду63 - 2,0 м.п. Встановлення ремкомплектів на трубопровід х/води (2 під.) Ду50 – 1 шт.  (8 під.) - встановлення водоміру на поливальний трубопровід.  кв.44 - заміна трубопроводу х/води Ду15 - 1,0 м.п. (2 під.) - заміна пошкодженого трубопроводу х/води Ду40 - 1 м.п., кран кульовий Ду32 - 1 шт., різьба Ду40 - 1 шт.   (1 під.) - заміна пошкодженого трубопроводу х/води Ду25 - 1,5 м.п., кран кульовий Ду25 - 1 шт., муфта Ду25 - 1 шт.  Встановлення ремкомплектів на трубопроводах х/води (2 під.) Ду32 - 1 шт.  Встановлення ремкомплектів на трубопроводах г/води: (5 під.) Ду50 – 1 шт. Ремонт та підготовка до гідравлічного випробування системи опалення: ремонт засувок Ду80 – 6 шт., Ду50 – 6 шт., ремонт кранів Ду20 - 37 шт., Ду15 – 8 шт., заміна кранів Ду20 - 3 шт.   Встановлення на «збросниках» опалення кранів кульових (4 під.) Ду15 – 2 шт., (1 під.) Ду15 - 3 шт.  (4 під.) - заміна трубопроводу водовідведення Ду110 - 0,5 м.п., коліно Ду110х45 - 1 шт. 5п. – заміна трубопроводу каналізації Ду110 - 1 м.п., коліно Ду110х90 - 1 шт. (2 під.) - заміна пошкодженого трубопроводу каналізації Ду110 - 1,0 м.п., перехід Ду124/110 - 1 шт., коліно Ду110х45 - 1 шт.  (5п.) – заміна трубопроводу каналізації Ду110 - 1,5 м.п., перехід Ду124/110 – 1 шт., коліно Ду100х45 – 1 шт.  Встановлення заглушек на трубопроводу водовідведення  (4 під.) Ду110 – 1 шт.  (3 під.) - заміна пошкодженого трубопроводу водовідведення Ду110 - 1,0 м.п., трійник Ду110/110х45 - 1 шт., коліно Ду110х90 - 1 шт.  Поточний ремонт покрівлі: кв.77, 108 – 8 кв.м. кв.17 – 5 кв.м., кв.20, 92, 107 – 10 кв.м.   (8 під.) – ремонт під’їзду.  Встановлення замків: (4 під.) - вхід в підпілля - 1 шт.  (1 під.) - ремонт дверей та встановлення замка на двері входу в підпілля – 1 шт.  (8 під.) - демонтаж стойки урни - 2 шт., електрозварювальні роботи. Фарбування лавок прибудинкові – 20 шт.  Ремонт лавок прибудинкові – 3 шт. (рейок – 10 шт.).  Фарбування урн прибудинкові – 1 шт.  Фарбування поручнів – 3 шт. Фарбування очищувачів для взуття - 6 шт.  Фарбування елементів дитячих майданчиків.  Фарбування килимовибивалка – 1 шт.  Виготовлення, окраска та встановлення  дерев’яної  пісочниці  з кришкою на дитячий майданчик, ремонт огорожі дитячого ігрового комплексу.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Усунення  наслідків аварій що виниклі внаслідок стабілізаційних відключень електроенергії по місту: заміна наконечників на ввідному кабелі у прохідному щіті. </t>
  </si>
  <si>
    <t xml:space="preserve"> Поточний ремонт, заміна безтраншейним способом випуску госпфекальної каналізації за адресою: м. Чорноморськ, вул.Данченка, 3-В(4 під.)" Ду110 – 5 м.п. (19 637,44 грн.). </t>
  </si>
  <si>
    <t xml:space="preserve">кв.44/50 - заміна пошкодженого трубопроводу х/води Ду25 - 2,0 м.п.  (4 під.) - заміна трубопроводу водопостачання Ду32 - 1,0 м.п. кв.98 - заміна частки трубопроводу водопостачання Ду25 - 1,0 м.п.  кв.74 - заміна пошкодженого трубопроводу водопостачання Ду32 - 1,5 м.п. кв.21 - заміна пошкодженого трубопроводу водопостачання Ду15 - 0,5 м.п., кран Ду15 – 1 шт. кв.60 – заміна трубопроводу водопостачання Ду25 - 1 м.п., кран кульовий Ду15 - 1 шт. (4п.) – монтаж додаткового трубопроводу поливу від лічильника. (3 під.) - заміна пошкодженого трубопроводу х/води Ду40 - 1,0 м.п., різьба Ду40 - 2 шт.  Встановлювання ремкомплектів на трубопроводі г/води (2п.) Ду40 – 1 шт.,  (4під.) Ду25 – 1 шт. Ремонт засувок в елеваторних вузлах, набивання сальників: Ду50 – 3 шт.   Ремонт, часткова заміна трубопроводу опалення Ду20 - 1,0 м.п., кран Ду20 – 1 шт. /2шт.елеватора/ ремонт та гідравлічні випробування системи опалення: ремонт засувок Ду80 - 3 шт., Ду50 – 8 шт., ремонт кранів Ду20 - 36 шт., Ду15 – 9 шт., заміна кранів Ду20 - 3 шт., Ду15 – 2 шт.   (1-ий елеватор) - заміна пошкодженого ділянки трубопроводу опалення Ду80 -1,0 м.п.  Заміна кранів кульових на стояках опалення кв.116 Ду20 - 1 шт.  кв.92 - заміна трубопроводу водовідведення Ду110 - 1,0 м.п., компенсатор Ду110 – 1 шт.  (1 під.) - заміна пошкодженого трубопроводу водовідведення Ду110 - 1,0 м.п., перехід Ду110/124 – 1 шт., муфта Ду110 - 1 шт. 3п. – заміна трубопроводу каналізації Ду110 - 1,5 м.п., перехід Ду124/110 - 1 шт., трійник Ду110х45 - 1 шт., ревізія Ду110 - 1 шт.  В укритті ремонт трубопроводу водовідведення, прочищення та ремонт Соло-ліфту.  Заварювання вхідних люків самовільних підвалів.  (2 під.) - ремонт дверей та встановлення замка на двері входу в підпілля – 1 шт.  Фарбування лавок прибудинкові – 11 шт. Ремонт лавок прибудинкові – 2 лавки (4 рейки).   Фарбування лавок (прибудинкові) – 2 шт. Фарбування елементів на дитячому майданчику.  Фарбування турника - 1 шт. Фарбування майданчиків для білизни. 2,3 пп. - ремонт та встановлення урн біля під’їздів - 2 шт. (арматура Д10 - 3 м.п.).   (4 під.) - ремонт та встановлення урни біля під’їзду арматура Д10 - 1,0 м.п., ел. зварювання. (6 під.) - очищення зливового трубопроводу на технічному поверсі.  (6п.) технічний поверх: виготовлення захисних грат на водоприймач – арматура Д10 – 10 м.п., врізання патрубка на коліно водостічної труби Ду32 – 1 шт., кран кульовий Ду32 – 1 шт.; герметизація примикання водостічної труби до перекриття Ду100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</si>
  <si>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Встановлювання крана кульового Ду15 - 1 шт. на трубопроводі х/води.   кв.57 - заміна трубопроводу х/води Ду15 - 1,0 м.п. кв.4 – заміна трубопроводу водопостачання Ду20 – 1 м.п. Встановлення ремкомплектів на трубопроводи х/води: (6 під.) Ду80 - 1 шт.  Встановлення ремкомплектів на трубопроводи х/води: (2 під.). (5 під.) - заміна пошкодженого трубопроводу водопостачання Ду40 - 1,0 м.п.  Встановлення ремкомплектів на трубопроводи г/води: (5 під.) Ду40 - 1 шт.,  4 під. Ду40 – 1 шт.  Ремонт засувок в елеваторних вузлах, набивання сальників: Ду50 – 3 шт. Ремонт та гідравлічне випробування системи опалення: заміна засувок /вводи/ Ду80 - 2 шт., заміна кранів кульових Ду15 - 2 шт., Ду20 - 2 шт., ремонт засувок Ду80 - 1 шт., Ду50 - 5 шт., ремонт кранів Ду15 – 5 шт., Ду20 - 23 шт.   (4 під.) - заміна пошкодженого трубопроводу водовідведення Ду110 - 0,5 м.п., муфта Ду110 - 1 шт.   (5п.) – заміна трубопроводу каналізації Ду110 - 1,5 м.п., коліно Ду110/45 – 1 шт., заглушка Ду110 - 1 шт.   кв.31 - заміна пошкодженого трубопроводу водовідведення Ду110 - 2,0 м.п., компенсатор Ду110 - 1 шт., компенсатор Ду110 - 1 шт., муфта вставна Ду110/110 - 1 шт., перехід Ду124/110 – 1 шт. Встановлення «заглушок» каналізаційних (3 під.) Ду110 – 1 шт. (3 під.) - заміна пошкодженого трубопроводу каналізації Ду110 - 0,5 м.п., коліно Ду110х45 – 1 шт., перехід Ду124/110 – 1 шт. Поточний ремонт покрівлі: кв.19 – 3 кв.м., кв.100 – 20 кв.м., кв.19, 20, 49, 80 – 105 кв.м., кв.49 – 5 кв.м., кв.78 – 5 кв.м.  Ремонт дверей і люків входу до підпілля:  (6 під.) лист метал - 0,2 кв.м, куток 35х35 - 0,5 м.п.  Ремонт лавок прибудинкові – 2 шт. (рейок – 4 шт.). Фарбування лавок прибудинкові – 12 шт. Зафарбовування наркотичних написів на фасадах ж/будинків – 5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</si>
  <si>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(7під.) - заміна пошкодженого трубопроводу х/води Ду25 - 1,5 м.п., кран кульовий Ду25 - 1 шт.   кв.3/підпілля - заміна частки трубопроводу водопостачання Ду32 - 3,0 м.п. через перекриття, кран Ду32 – 1 шт.   Встановлення лічильників поливу квітників: (5 під.).  Встановлення ремкомплектів на трубопроводі водопостачання Ду50 – 1 шт. кв.34 - встановлення ремкомплекту Ду25 – 1 шт. на трубопроводі водопостачання.   кв.17 - встановлення крана кульового Ду15 - 1 шт. на трубопроводі х/води. (6 під.) – ремонт трубопроводу водопостачання по підвалу, встановлення ремкомплекту Ду25.  (6 під.) - заміна частки трубопроводу водопостачання Ду32 - 10 м.п., муфта Ду32х1*- 2 шт., угол Ду32 – 3 шт., вентиль Ду1\2*- 1 шт. Встановлення ремкомплектів на трубопроводах х/води (2 під.) Ду63 - 1 шт.  кв.81 - заміна трубопроводу водопостачання Ду15 - 0,5 м.п., кран кульовий Ду15 – 1 шт.  Встановлювання ремкомплектів на трубопроводі г/води: (3під.) Ду25 – 1 шт., (2п.) Ду40 – 1 шт. (5п.) – встановлення ремкомплекту на трубопроводі опалення Ду80 – 1 шт.   Набивка сальників на засувка опалення:  Ду80 – 3 шт. Ремонт та гідравлічні випробування системи опалення: заміна пошкодженого трубопроводу Ду63 - 6,0 м.п., заміна кранів кульових Ду20 - 2 шт., ремонт засувок Ду80 - 4 шт., Ду50 – 4 шт., ремонт кранів Ду20 - 41 шт., Ду15 - 6 шт.  (4 під.) - заміна пошкодженого ділянки трубопроводу опалення Ду63 - 6,0 м.п.   (6 під.) – ремонт трубопроводу опалення, встановлення скидників на стояках опалення (2 стояка) в підвалі, кран Ду15 – 2 шт.   (7 під.) – ремонт, заміна частки трубопроводу опалення (2 стояка) в підвалі, вентиль Ду3\4*- 2 шт., труба Ду25 – 8 м.п., муфта Ду3\4х25 – 8 шт., уголок Ду25 – 12 шт., трійник Ду25 – 4 шт.  (7 під.) - заміна пошкодженого трубопроводу опалення Ду15 - 2,0 м.п., кран кульовий Ду20 - 2 шт., різьба коротка Ду20 – 2 шт., муфта Ду20 - 2 шт.  Встановлення на «збросниках» опалення кранів кульових (4 під.) Ду15 – 1 шт. кв.3/підпілля – ремонт, заміна трубопроводу водовідведення Ду110 - 4,0 м.п., перехід Ду110/124 – 1 шт., компенсатор Ду110 – 1 шт., ревізія Ду110 – 1 шт.  кв.24 – заміна трубопроводу каналізації Ду110 - 0,5 м.п., компенсатор Ду110 – 1 шт., трійник Ду110/110/50 – 1 шт.    кв.129 - заміна пошкодженого трубопроводу каналізації Ду110 - 1,0 м.п., перехід Ду110/124 - 1 шт., компенсатор Ду110 - 1 шт., муфта Ду110 – 1 шт., кріплення Ду110 - 1 шт.  кв.27 - заміна пошкодженого трубопроводу каналізації Ду110 - 2,0 м.п., перехід Ду110/124 - 1 шт., компенсатор Ду110 - 1 шт., ревізія Ду110 - 1 шт., трійник Ду110/50 – 1 шт. (1 під.) - заміна пошкодженого трубопроводу каналізації Ду110 - 1,0 м.п., перехід Ду110/124 – 1 шт., муфта Ду110 - 1 шт.  (2 під.) - заміна пошкодженого трубопроводу водовідведення Ду110 - 0,5 м.п., ревізія Ду110 - 1 шт.   Встановлення заглушек (7п.) Ду110 – 1 шт.   кв.22/підпілля - заміна пошкодженого трубопроводу водовідведення через перекриття Ду110 - 2,0 м.п., трійник Ду110х45 – 1 шт., перехід Ду110/124 - 1 шт. Встановлення каналізаційних заглушек (3 п.) Ду110 – 1 шт.   4під. - заміна трубопроводу каналізації Ду110 - 2,0 м.п., трійник Ду110х45 - 1 шт., коліно Ду110х45 - 4 шт., компенсатор Ду110 - 1 шт. кв.95/підвал - заміна трубопроводу водовідведення, перехід Ду124х110пл. – 1 шт. та Ду124х110рез. – 1 шт., труба Ду110х1500 – 1 шт.; Ду110х2000 – 1 шт., колено Ду110/45 – 1 шт., ревізія Ду110 – 1 шт., кріплення 110 – 2 шт., трійник Ду110 – 3 шт.  (5 під.) - заміна пошкодженого трубопроводу каналізації Ду110 - 0,5 м.п., муфта Ду110 - 1 шт.  Ремонт дверей і люків входу до підпілля (8п.) куток 35х35 - 1,0 м.п.  Фарбування лавок - 6 шт. (місто).   Фарбування урн (місто) – 2 шт. Ремонт лавок - 3 шт. рейок - 4 шт. Фарбування поручнів – 6 шт.  Зафарбовування наркотичних написів на фасадах ж/будинків – 2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</si>
  <si>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кв.73 – заміна трубопроводу водопостачання Ду25 - 1,5 м.п.    Встановлення лічильників поливу квітників, опломбування поливних лічильників.  (6 під.) - заміна пошкодженого трубопроводу водопостачання Ду25 - 1,5 м.п., кран кульовий Ду25 - 2 шт.  Встановлення ремкомплектів на трубопроводах г/води (2 під.) Ду25 – 1 шт. Ремонт та гідравлічне випробування системи опалення, ремонт засувок Ду50 - 7 шт., ремонт кранів Ду20 - 39 шт., Ду15 - 8 шт., заміна кранів кульових Ду20 - 2 шт.  (4 під.) – заміна пошкодженого трубопроводу опалення Ду20 – 1 м.п., заміна крану кульового Ду20 – 1 шт., Ду15 – 1 шт.  Заміна на стояках опалення кранів кульових (3п.) Ду15 - 1 шт.  Заміна кранів кульових на стояках опалення кв.36/48 Ду20 - 1 шт., Ду15 - 1 шт. (6під.) – заміна трубопроводу водовідведення Ду110 - 1,0 м.п., ревізія Ду110 - 1 шт.  кв.51/підпілля - заміна пошкодженого трубопроводу водовідведення через перекриття Ду110 - 3,0 м.п., коліно Ду110х45 - 1 шт., компенсатор Ду110 - 1 шт.  (3 під.) - заміна пошкодженого трубопроводу каналізації Ду110 - 2,0 м.п., трійник Ду110х45 – 1 шт., коліно Ду110х45 - 3 шт., перехідник Ду124/110 – 1 шт.   кв.38/підвал - заміна пошкодженого трубопроводу каналізації Ду110 - 3,0 м.п., муфта перехідна 110/110 – 1 шт., компенсатор Ду110 – 1 шт., перехід Ду110х124 – 1 шт., трійник Ду110х45 – 1 шт., перехід Ду110х50 – 1 шт.  Ремонт дверей і люків входу до підпілля: (6під.): куток 35х35 - 1,0 м.п., встановлення замку – 1 шт.  Ремонт дверей входу в підпілля (3 під.) - арматура 10мм - 0,5 м.п., встановлення замку - 1 шт.  (4,5пп.) - демонтаж металевих штирів на прибудинковій території - 5 шт.  Прибирання та вивіз автомобільних шин з прибудинкової території. Фарбування лавок – 8 шт., Фарбування урн – 9 шт.  Ремонт огорожі площадки для сміттєвих контейнерів, проф.трруба 40х40 – 16 м.п., 40х20 – 30 м.п. ремонт решітки ливневої каналізації, електрозварювальні роботи.  (2 під.) – ремонт лави для відпочинку, заміна рійки - 1 шт.  Зафарбування написів наркотичного змісту на фасадах будинків – 0,5 кв.м. (5 під.) – розкопування каналізаційного випуску з подальшим закриттям розкопки (провал грунту).  Ремонт огорожі майданчика для контейнерів ТБО, встановлення 5-ти секцій, ремонт покриття майданчика для контейнерів ТБО,  цементне стягування – 2 кв.м.   кв.81, 6 під. - прочищення вентиляційних каналів з розбиранням цегляної кладки на сходових маршах 2 та 3 поверхів. (6 під.) – 2-3 поверхи закладання отворів після прочищення вентиляційного каналу зі сходових маршів, цегла, штукатурка – 0,5 кв.м.  (3 під., по кв.38) – закладання отвору на сходовому марші, штукатурка – 1 кв.м. (після заміни каналізаційного трубопроводу).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</si>
  <si>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кв.42/39 - заміна пошкодженого трубопроводу х/води Ду25 - 3,0 м.п., кран кульовий Ду25 - 1 шт.  (4 під.) - заміна трубопроводу водопостачання Ду40 - 2,0 м.п.  кв.36 - заміна пошкодженого трубопроводу водопостачання Ду25 - 1,5 м.п., кран кульовий Ду25 - 1 шт., Ду15 - 1 шт.   Встановлення лічильників поливу квітників, опломбування поливних лічильників. кв.2 – заміна трубопроводу водопостачання Ду25 - 1 м.п., Ду20 – 1 м.п.  (4 під.) - ремонт трубопроводу поливу з заміною крана кульового Ду15 - 1 шт.  Встановлення ремкомплекту на трубопроводах г/води: (3 під.) Ду32 - 1 шт., (2 під.) Ду32 - 1 шт., (5 під.) Ду50 – 1 шт. Ремонт та гідравлічні випробування системи опалення: ремонт засувок Ду80 - 2 шт., Ду50 - 5 шт., ремонт кранів Ду20 - 21 шт., Ду15 - 8 шт., заміна кранів Ду20 - 2 шт., Ду15 - 2 шт.  Ремонт засувки на системі опалення Ду50 - 1 шт., набивка сальників.  Заміна «заглушек» Ду15 на «збросніках» стояків опалення в підпіллях (3 під.) - 1 шт. (1 під.) - заміна пошкодженого трубопроводу каналізації Ду110 - 12,0 м.п., муфта Ду110 - 3 шт., перехід Ду124/110 - 3 шт., коліно Ду110х45 - 10 шт., трійник Ду110х45 - 5 шт., ревізія Ду110 - 1 шт.  (5п.) – заміна трубопроводу каналізації Ду110 – 2 м.п., перехід Ду110/124 – 1 шт., муфта Ду110 – 1 шт.   (4під.) - встановлення заглушки Ду110 - 1 шт. на трубопроводі водовідведення.  (4 під.) - встановлення каналізаційної заглушки Ду110 - 1 шт.  кв.97 - заміна пошкодженого трубопроводу водовідведення Ду110 - 2,0 м.п, компенсатор Ду110 - 1 шт., трійник Ду110/50х45 - 1 шт.   (1 під.) - заміна пошкодженого трубопроводу водовідведення Ду110 – 0,5 м.п., трійник Ду110 – 1 шт., муфта Ду110 - 1 шт.  Прибирання та вивіз автомобільних шин з прибудинкової території.  Фарбування лавок прибудинкові - 9 шт.   Ремонт секцій огородження спорт майданчика – 20 м.п.  (4 під.) – ремонт лави для відпочинку – 1 шт., заміна рейок - 2 шт. Зафарбовування наркотичних написів на фасадах ж/будинків – 1 кв.м. (5п.) – ремонт вимощення – 4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</si>
  <si>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кв.97- заміна пошкодженого трубопроводу водопостачання Ду25 - 2,0 м.п, кран кульовий Ду25- 1 шт.   Встановлення лічильників поливу квітників, опломбування поливних лічильників.  (2 під.) - заміна пошкодженого трубопроводу х/води Ду25 – 4 м.п., Ду20 - 2,0 м.п., кран кульовий Ду25 - 1 шт.   кв.44 - заміна пошкодженого трубопроводу водопостачання Ду20 – 2 м.п., Ду16 – 2 м.п., кран кульовий Ду15 - 1 шт.  2 під. - заміна трубопроводу х/води Ду57 - 3,0 м.п., кран кульовий Ду25 - 1 шт. кв.14 - заміна пошкодженого трубопроводу водопостачання Ду20 - 1,0 м.п., кран кульовий Ду20 - 1 шт. кв.14/30/підпілля - заміна пошкодженого трубопроводу водопостачання Ду25 - 3,0 м.п., кран кульовий Ду25 – 1 шт.  кв.14/30/підпілля – заміна пошкодженого трубопроводу холодної води труба ППДу32 - 12,0 м.п., кран кульовий Ду15 – 1 шт., перехід Ду20х1/2*- 1 шт., коліно Ду20х90 - 4 шт., гебо муфта 1/1*вн.чавунна – 1 шт., труба композит Ду20х3,2 - 2,0 м.п. Встановлення ремкомплектів на трубопроводи х/води: (1 під.) Ду65 - 1 шт. Встановлення ремкомплектів на трубопроводах г/води (1 під.) Ду63 - 1 шт.,  Ду25 - 1 шт. Ремонт та  гідравлічне випробування системи опалення: ремонт засувок Ду80 - 5 шт., Ду50 - 7 шт., ремонт кранів Ду20 - 39 шт., Ду15 - 8 шт., заміна кранів кульових Ду20 - 3 шт.  Заміна «заглушок» Ду15 на «збросниках» стояків опалення в підпіллях (2 під.) - 2 шт.   Заміна на стояках опалення кранів кульових (1п.) Ду15 – 1 шт.  Заміна кранів кульових на стояках опалення кв.64  Ду20 - 1 шт. (1 під.) - заміна трубопроводу водовідведення Ду110 - 1,5 м.п.  Встановлення каналізаційних заглушок (1п.) Ду110 - 1 шт.   (1 під.) - заміна трубопроводу водовідведення Ду110 - 1,0 м.п., ревізія Ду110 - 1 шт., перехід Ду110/124 - 1 шт.   (2 під.) - заміна пошкодженого трубопроводу каналізації Ду110 - 1,5 м.п., заглушка Ду110 - 1 шт.  Встановлення заглушек (1п.) Ду110 – 2 шт.   (1 під.) - заміна пошкодженого трубопроводу водовідведення Ду110 - 1,0 м.п, компенсатор Ду110 - 1 шт.  кв.22,44,42 - заміна пошкодженого трубопроводу водовідведення Ду110 - 1,5 м.п., хрестовина Ду110 пряма – 1 шт., углы Ду110(15,20,32) – 6 шт., муфта Ду110 - 1 шт., кріплення Д110 - 2 шт.  заміна пошкодженого трубопроводу каналізації Ду110 – 2,5 м.п., углол Ду110 – 1 шт., муфта Ду110 - 1 шт., кріплення 110 - 2 шт.  кв.66 - заміна пошкодженого трубопроводу водовідведення Ду110/250 - 1 шт., трійник Ду110х45 - 1 шт., перехід 124/110 - 1 шт.  (1 під.) - заміна пошкодженого трубопроводу каналізації Ду110 - 1,0 м.п., коліно Ду110х45 - 1 шт.  кв.14/30/підпілля - заміна пошкодженого трубопроводу каналізації Ду110 - 6,0 м.п., компенсатор Ду110х45 – 1 шт., хрестовина Ду110/110х45 - 1 шт., коліно Ду110х15*-1 шт., коліно Ду110х22*- 1 шт., коліно Ду110х30*- 1 шт., перехід Ду124/110 – 1 шт.   кв.14/30/підпілля - заміна каналізаційного трубопроводу Ду110 - 3,0 м.п., трійник Ду110/50х90 – 2 шт., компенсатор Ду50 – 2 шт., коліно Ду110х90 - 1 шт. з’єднання GEBO-1* - 1 шт., згін американка Дку32х1*- 1 шт., коліно Ду32х90 - 4 шт., коліно Ду32х45 - 4 шт.  (1 під.) - заміна пошкодженого трубопроводу каналізації Ду110 - 1,0 м.п, перехід Ду110/124 - 1 шт. (1під.) - заміна трубопроводу водовідведення Ду110 - 1,0 м.п., заглушка Ду110 - 1 шт.  Поточний ремонт покрівлі: кв.156 – 27 кв.м., кв.157 – 30 кв.м., кв.66, 152 – 30 кв.м., кв.155 – 15 кв.м.  Прибирання та вивіз автомобільних шин з прибудинкової території.  Ремонт огорожі площадки для сміттєвих контейнерів, проф.трруба 40х40 – 16 м.п., 40х20 – 30 м.п.; ремонт каруселі на дитячому майданчику. Зафарбування написів наркотичного змісту на фасадах будинків – 2,5 кв.м. Ремонт огорожі майданчика для контейнерів ТБО, встановлення 5-ти секцій, ремонт покриття майданчика для контейнерів ТБО,  цементне стягування – 2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Встановлення світильника на 1 поверсі. Заміна лічильника з ДТЄК в ВРЩ-0,4кВ на житловом будинку.    </t>
  </si>
  <si>
    <t>"Поточний ремонт, заміна випуску госпфекальної каналізації за адресою:м. Чорноморськ, вул. Данченка, 2 (3, 4 під.)"  Ду110 – 8 м.п. (33 368,57 грн.).</t>
  </si>
  <si>
    <t xml:space="preserve">кв.47 - заміна сікучого крану Ду15 – 1 шт. на трубопроводі х/в, за допомогою електрозварювання включаючи (привариш – 2 шт., муфта – 1 шт.) , аварійне усунення течі.  кв.35 - заміна частки трубопроводу х/в Ду20 – 1 м.п. за допомогою електрозварювання, включаючи (привариш – 1 шт., муфта – 2 шт., коліно – 4 шт.) аварійне усунення течі.   кв.48  – зміна врізки на стояку х/в, заміна крану Ду15 – 1 шт. за допомогою електрозварювання, аварійне усунення течі.   кв.16 - аварійне усунення течі трубопроводу водопостачання, заміна підводки в кухні.   (техпідвал 2 під.) - заміна частки стояку ц/о Ду25 – 1.м.п. включаючи (муфта Ду25 – 2 шт., коліно Ду25*45 – 2 шт., коліно Ду25*90 – 2 шт., муфта Ду25*3/4 – 1 шт.). Ремонт та гідравлічні випробування системи ц/о, ремонт вентилів на стояках Ду20 – 24 шт., часткова теплоізоляція трубопроводів Ду50 – 6 м.п., Ду20 – 3 м.п. Маркування трубопроводів в тепловому вузлу.  кв.13 - заміна підводок до радіатору опалення Ду20 – 2 м.п. за допомогою електрозварювання, включаючи (привариш – 2 шт., муфта – 2 шт.), усунення течі.  (техпідвал 3,4 під.) – пробиття отворів перфоратором – 0,6м³, заміна трубопроводу водовідведення (лежаку) ЧК100 на ПХВ110 – 8 м.п. включаючи фасоніну (трійник Ду110/45 – 1 шт., коліно Ду110/45 – 6 шт., ревізія Ду110 – 1 шт., кріплення – 3 шт.). Поточний ремонт покрівлі: кв.35 – 15 кв.м. (3 під.) – виготовлення, фарбування та встановлення дверей виходу на дах, проф.труба 40х40 – 6 м.п., 40х20 – 6 м.п., арматура Д12 – 1 м.п., лист мет.δ2мм – 1х2 кв.м., навіс – 2 шт.  Викопування та прибирання автошин з прибудинкової території.  Фарбування урн – 2 шт. (місто).   Фарбування урн – 1 шт. (прибудинкова).   Фарбування лав для відпочинку – 7 шт. (прибудинкова).   Фарбування елементів  дитячого майданчика (прибудинкові): карусель – 1 шт., качалка - 1 шт., качель – 1 шт.   Фарбування стойок на білизняному майданчику.   (4 під) – ремонт урни для сміття – 1шт. за допомогою електрозварювання.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</si>
  <si>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кв.19 - зміна врізки на трубопроводі х/в, заміна сікучого крану Ду15 – 1 шт. за допомогою електрозварювання, аварійне усунення течі.  кв.38/34 – заміна стояку водопостачання Ду25 – 4 м.п., через міжповерхове перекриття за допомогою електрозварювання включаючи (привариш – 2 шт., муфта – 2 шт.), заміна крану Ду25 – 1 шт.  кв.30 – ремонт трубопроводу водопостачання, заміна відсічного крану Ду15 – 1 шт.  кв.39 - заміна стояку опалення Ду25 – 2 м.п., за допомогою електрозварювання включаючи (привариш – 2 шт., муфта – 2 шт.).  Ремонт та гідравлічні випробування системи ц/о, ремонт вентилів на стояках Ду20 – 20 шт., часткова теплоізоляція трубопроводів Ду50 – 3 м.п., Ду20 – 1 м.п. Маркування трубопроводів в тепловому вузлу.  кв.13 – аварійне усунення течі по стояку опалення (кран – «американка»). кв.40 - заміна підводок до радіатору ц/о Ду20 – 2 м.п. за допомогою електрозварювання, включаючи (привариш – 2 шт., муфта – 2 шт.), усунення течі.  кв.28 - заміна підводок до радіатору опалення Ду20 – 2 м.п. за допомогою електрозварювання, включаючи (привариш – 2 шт., муфта – 2 шт.), усунення течі. (1під.) – встановлення кодового замку на вхідні двері до під’їзду. Благоустрій: зрізання сухих та підрізання дерев, кущів, порослі озеленювачем.  Фарбування урн – 3 шт. Фарбування лав для відпочинку – 3 шт. Фарбування стойок на білизняному майданчику.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</si>
  <si>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кв.71/75 – заміна стояку х/в Ду25  – 2 м.п. через міжповерхове перекриття за допомогою електрозварювання включаючи (привариш – 2 шт., муфта – 2 шт., коліно – 4 шт.).   кв.34 – заміна сікучого крану Ду25 – 1 шт. на стояку х/в за допомогою електрозварювання включаючи (муфта – 1 шт.).    (техпідвал 2 під.) - заміна сікучого крану Ду15 – 1 шт. на трубопроводі х/в, за допомогою електрозварювання включаючи (привариш – 2 шт., муфта – 1 шт.), аварійне усунення течі.  кв.71/75 - заміна стояку х/в Ду20 – 3 м.п. через міжповерхове перекриття за допомогою електрозварювання включаючи (кран Ду20 – 1 шт., привариш – 2 шт., муфта – 1 шт.).  кв.35 – заміна крану Ду25 – 1шт.  на трубопроводі х/в за допомогою електрозварювання включаючи (привариш – 1шт.). Ремонт та гідравлічні випробування системи опалення, ремонт вентилів на стояках Ду20 – 24 шт., часткова теплоізоляція трубопроводів Ду50 – 14 м.п., Ду20 – 8 м.п. Маркування трубопроводів в тепловому вузлу.  кв.24 – заміна підводок до радіатору ц/о Ду20 – 2 м.п. за допомогою електрозварювання, аварійне усунення течі.   кв.71 - заміна частки стояку опалення Ду25 – 1 м.п., за допомогою електрозварювання включаючи (привариш – 1 шт., муфта – 2 шт.).  кв.71 – заміна стояку водовідведення ЧК100 на ПХВ110 – 2 м.п., включаючи фасоніну (перехід Ду110/124 – 1 шт., перехід гумовий – 1 шт., ревізія Ду110 – 1 шт., коліно Ду110/45 – 2 шт.).  кв.16 – усунення течі на стояку каналізації, заміна муфти Ду110 – 1 шт.  кв.12 - заміна стояку каналізації ЧК100 на ПХВ110 – 3,5 м.п. через міжповерхове перекриття включаючи фасоніну (перехід Ду110/124 – 1 шт., перехід гумовий – 1шт., муфта Ду110 – 1 шт., коліно Ду110/45 – 2 шт., трійник Ду110/45 – 1 шт., ревізія Ду110 – 1 шт., кріплення – 3 шт.).   кв.71/75 - заміна стояку каналізації ЧК100 на ПХВ110 – 4,5 м.п. через міжповерхове перекриття включаючи фасоніну (перехід Ду110/124 – 1 шт., перехід гумовий – 1 шт., коліно Ду110/45 – 4 шт., трійник Ду110/45 – 2 шт., ревізія Ду110 – 1 шт.).   На дитячому майданчику демонтаж огорожі для ремонту в РБД.  Фарбування урн – 5 шт. Фарбування лав для відпочинку – 7 шт. Фарбування стойок на білизняних майданчиках.  Ремонт лав – 1 шт., заміна планок на лавах для відпочинку (прибудинкова) – 1 шт.   Фарбування елементів дитячих майданчиків (прибудинкові):  (гірка – 1 шт., качель – 1 шт.), на дитячому майданчику ремонт лави для відпочинку, електрозварювальні роботи.  (4 під.) - ремонт урни – 1 шт. (прибудинкова) за допомогою електрозварювання.  (2 під., 1 поверх) – ремонт сходового маршу, укріплення, швелер 10 – 2 м.п., труба Ду50 – 2 м.п., арматура Д10 – 2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</si>
  <si>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ремонт вентилів на стояках Ду20 – 18шт., часткова теплоізоляція трубопроводів Ду50 – 3м.п., Ду20 – 2м.п. Маркування трубопроводів в тепловому вузлу. Фарбування урн – 3 шт.  Фарбування лав для відпочинку – 1 шт. (прибудинкова).  Фарбування стойок на білизняному майданчику.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</si>
  <si>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кв.1 - заміна частки стояку водопостачання Ду20 – 2 м.п., через міжповерхове перекриття з техпідвалу, за допомогою електрозварювання включаючи (привариш – 2 шт.).   кв.45 - заміна стояку х/в Ду32 – 2 м.п. за допомогою електрозварювання включаючи (кран Ду20 – 1 шт., привариш – 2 шт., трійник 32/20 – 1 шт.).   кв.41 - заміна стояку х/в Ду32 – 2 м.п. за допомогою електрозварювання включаючи (привариш – 2 шт., трійник 32/20 – 1 шт.). кв.5 – перепаковка з`єднання «американка» на стояку опалення, аварійне усунення течі.  Ремонт та гідравлічні випробування системи ц/о, заміна вентилів на стояках Ду15 – 2 шт., ремонт вентилів на стояках Ду20 – 18 шт., часткова теплоізоляція трубопроводів Ду50 – 3 м.п., Ду20 – 2 м.п. Маркування трубопроводів в тепловому вузлу.  (техпідвал 3 під.) – заміна частки лежаку ц/о Ду50 – 2 м.п., стояку ц/о Ду20 – 1 м.п., крану Ду20 – 1 шт.  за допомогою електрозварювання.  (техпідвал 3під.) – установка кранів Ду15 – 2 шт. замість заглушок на стояках опалення.   (техпідвал 4 під.) – установка кранів Ду15 – 2 шт. замість заглушок на стояках опалення.  кв.41 – заміна частки стояку каналізації ЧК100 на ПХВ110 – 1 м.п. включаючи фасоніну (ревізія Ду110 – 1 шт., перехід Ду110/124 – 1 шт., перехід гумовий – 1 шт., муфта Ду110 – 1 шт.).  кв.24 - заміна стояку каналізації ЧК100 на ПХВ110 – 2,5 м.п. включаючи фасоніну (перехід Ду110/124 – 1 шт., перехід гумовий, муфта – 1 шт., коліно Ду110/45 – 2 шт., ревізія Ду110 – 1 шт., кріплення – 2 шт.).   кв.7 - заміна стояку каналізації ЧК100 на ПХВ110 – 2,5 м.п. включаючи фасоніну (перехід Ду110/124 – 1 шт., перехід гумовий – 1 шт., коліно Ду110/45 – 2 шт., компенсатор – 1 шт., муфта – 1 шт., кріплення – 2 шт.).  кв.23/27 – пробиття отвору в бетонному перекритті – 0,25м³, заміна стояку каналізації ЧК100 на ПХВ110 – 4,5 м.п. через міжповерхове перекриття включаючи фасоніну (перехід Ду110/124 – 1 шт., перехід гумовий – 1шт., перехід Ду110/50 – 2 шт., коліно Ду110/45 – 2 шт., компенсатор – 1 шт., хрестовина Ду110 – 1 шт., кріплення – 4 шт.).  кв.13 – заміна частки трубопроводу водовідведення Ду110 – 2 м.п.  Благоустрій прибудинкової території: зрізання сухих та підрізання дерев, кущів, порослі  озеленювачем. Викопування та прибирання автошин з прибудинкової території.  Демонтаж металевих залишків (арматура та т.п.). Фарбування лав для відпочинку – 5 шт. (прибудинкова).   Фарбування стойок на білизняних майданчиках.   На дитячому майданчику ремонт лави для відпочинку, електрозварювальні роботи.  (4 під.) – ремонт прибудинкової лави для відпочинку – 1 шт. (заміна планки).  (3 під.) – ремонт прибудинкової лави для відпочинку – 1 шт. за допомогою електрозварювання.  (3 під.) – герметизація проводів в приміщенні виходу на дах.  Прочищення водостічних труб, водоприймальних воронок.  (1 під.) – ремонт – 0,5 м.п. водостічної труби з прочищенням (з використанням автовишки Зеленгосп).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</si>
  <si>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кв.6 - зміна врізки на трубопроводі х/в, заміна сікучого крану Ду20 – 1 шт. за допомогою електрозварювання включаючи (муфта – 1 шт.).  кв.1 – заміна секучого крану Ду15 – 1 шт. на стояку х/в.  Ремонт та гідравлічні випробування системи ц/о, ремонт вентилів на стояках Ду20 – 22шт., часткова теплоізоляція трубопроводів Ду50 – 2м.п., Ду20 – 2м.п. Маркування трубопроводів в тепловому вузлу. кв.56 – усунення течі на стояку рушникосушарки опалення (кран «американка»).  кв.2 – заміна радіатору опалення на кухні, встановлення кранів кульових Ду15 – 2 шт. Поточний ремонт покрівлі: кв.15 – 5 кв.м., (3п.) кв.53 – 1 кв.м.  (1 під.) – після ремонту в  під’їзді розвішування поштових ящиків.   (1п.) – ремонт сходів у під’їзді (обрамлення сталлю) – кут 50х50 - 12 м.п., арматура Д12 – 6 м.п., ремонт сходів у під’їзді цементна стяжка 8 ступенів.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</si>
  <si>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кв.24 – заміна частини стояку х/в Ду20 – 1,5 м.п. за допомогою електрозварювання включаючи (привариш – 1 шт., муфта – 1 шт.), заміна крану Ду15 – 1 шт. аварійне усунення течі.  кв.75 – зміна врізання на стояку х/в Ду20 – 1,5 м.п. за допомогою електрозварювання включаючи (привариш – 1 шт., фітинг – 2 шт.), заміна крану Ду15 – 1 шт. аварійне усунення течі.     кв.24 - зміна врізки на стояку х/в, заміна сікучого крану Ду15 – 1 шт. за допомогою електрозварювання включаючи (привариш – 1 шт., муфта – 1 шт.), аварійне усунення течі.   кв.56 - зміна врізки на трубопроводі х/в, заміна сікучого крану Ду20 – 1 шт. за допомогою електрозварювання, аварійне усунення течі включаючи (муфта – 1 шт.).  кв.104 – зміна врізки на стояку водопостачання за допомогою електрозварювання, аварійне усунення течі.  кв.20 - зміна врізки на стояку х/в за допомогою електрозварювання, аварійне усунення течі.  Ремонт та гідравлічні випробування системи ц/о, заміна вентилів на стояках Ду15 – 2 шт., ремонт вентилів на стояках Ду20 – 20 шт., часткова теплоізоляція трубопроводів Ду50 – 6 м.п., Ду20 – 2 м.п. Маркування трубопроводів в тепловому вузлу.  кв.68 - заміна підводок до радіатору опалення Ду20 – 2 м.п. за допомогою електрозварювання, включаючи (привариш – 2 шт., муфта – 2 шт.), усунення течі.   кв.34 - заміна частки лежаку опалення Ду50 (подача) – 3 м.п. за допомогою електрозварювання, включаючи (привариш – 1 шт., коліно – 2 шт.).  кв.95 - заміна стояку ц/о Ду25 – 2 м.п. за допомогою електрозварювання, включаючи (привариш – 1 шт., муфта – 2 шт.).  кв.108 - заміна підводок до радіатору опалення Ду20 – 2 м.п. на кухні за допомогою електрозварювання, установка кранів Ду20 – 2 шт. включаючи (привариш – 2 шт., муфта – 2 шт.), аварійне усунення течі.   к.108\115 - заміна стояку каналізації ЧК100 на ПХВ110 – 3 м.п., через міжповерхове перекриття включаючи фасоніну (перехід Ду110/124 – 1 шт., перехід гумовий – 1 шт., коліно Ду110/45 – 2 шт., ревізія Ду110 – 1 шт., трійник Ду110/45 – 1 шт. муфта-компенсатор – 1 шт., кріплення 110 – 2 шт.).   кв.53/56 – заміна частки стояку каналізації ЧК100 на ПХВ110 – 1,5 м.п. через міжповерхове перекриття включаючи фасоніну (перехід Ду110/124 – 1 шт., перехід гумовий – 1 шт., муфта Ду110 – 1 шт., коліно Ду110/45 – 2 шт., трійник Ду110/45 – 1 шт., кріплення – 1 шт.).  кв.47 - заміна стояку каналізації ЧК50 на ПХВ50 – 2,м.п. включаючи фасоніну (перехід Ду50/75 – 1 шт., перехід гумовий – 1 шт., коліно Ду50/45 – 2 шт., компенсатор – 1 шт., кріплення – 2 шт.).   Поточний ремонт покрівлі: кв.78 – 8 кв.м., кв.117, 119 – 15 м.кв.  кв.117 – 1 кв.м., кв.117 – ремонт, встановлення фанової труби – 0,5 м.п., + встановлення ковпака на фанову трубу. (3 під.) – ремонт дверей входу в підвал за допомогою електрозварювання.   (1, 2 під.) – ремонт дверей входу до під’їздів, встановлення мет. пружин.  (2 під.) – виготовлення та встановлення дер.дверей виходу на дах.  Викопування та прибирання автошин з прибудинкової території.  Фарбування урн – 1 шт. (прибудинкова).  Фарбування лав для відпочинку – 4 шт. (прибудинкова).   Ремонт лав – 1 шт., заміна планок на лавах для відпочинку (прибудинкова) – 1 шт.   Фарбування елементів дитячих майданчиків (прибудинкові): (стінка – 1 шт., качеля – 1 шт., качалка – 2 шт.),  Зафарбовування надписів на фасадах будинків – 3,2 м².   Виготовлення та встановлення металевих грат на вікно 1-го поверху ж\будинка Данченка 13, квадрат 12х12 – 40 м.п., ремонт вхідних дверей в тамбурі, встановлення замку. ТО обслуговування ВРЩ-0,4кВ вимір напруги; розподіл навантаження; ізоляція дротів; – заміна з’єднувального зжиму на стоячному дроті (горіх)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</si>
  <si>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кв.36 - зміна врізки на трубопроводі х/в, заміна сікучого крану Ду25 – 1 шт. за допомогою електрозварювання включаючи (муфта – 1 шт.). кв.31 - зміна врізки на трубопроводі х/в, заміна сікучого крану Ду20 – 1 шт. за допомогою електрозварювання включаючи (муфта – 1 шт.).   (майстерня) – встановлення душу для персоналу включаючи (ТТ коліно 16*1/2 з кріпл. – 1 шт., наст.компл. для змішув. 2*20*1/2 на планці - 1шт., ніпель лат.1-1/2 – 1шт.). кв.4 - зміна врізки на стояку х/в за допомогою електрозварювання, аварійне усунення течі. (майстерня) – установка змішувача для душа. кв.33 - перезапуск стояків опалення (сушарка).     (техпідвал 1 під.) - заміна лежаку опалення Ду15 – 2 м.п. за допомогою електрозварювання, включаючи (привариш – 1 шт., муфта – 2 шт., фітинг – 2 шт., кран Ду15 – 2 шт.).  Ремонт та гідравлічні випробування системи ц/о, ремонт засувок Ду50 - 2 шт., ремонт вентилів на стояках Ду20 – 22 шт., часткова теплоізоляція трубопроводів Ду50 – 8 м.п., Ду20 – 6 м.п. Маркування трубопроводів в тепловому вузлу. (майстерня) – установка «соло-ліфту» для душа, включаючи труба ПВХ32 – 4,5 м.п., куточок 32*45 – 1 шт., 32*90 – 4 шт., перехід 50*32 – 1 шт., кріплення – 4 шт.   (майстерня) - установка нового унітазу (компакт), заміна гофри.    Фарбування урн – 3 шт. (прибудинкова).   Фарбування лав для відпочинку – 4 шт. (прибудинкова).  Фарбування стойок на білизняному майданчику. Зафарбовування надписів на фасадах будинків – 5,5м².  (майстерня) – покриття поверхні робочого стола металом та кутником за допомогою електрозварювання включаючи (кут 35*35 – 4м.п., метал – 1м²); (2п.) – ремонт ступенів на сходових клітинах (кут 30х35 - 3 м.п., арматура Д12 – 2 м.п.).   (майстерня) – улаштування вентиляційних отворів Ду120 – 2 шт. в «несучій» стіні будинку для приміщення зварювальника.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</si>
  <si>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кв.54 – ремонт трубопроводу водопостачання, заміна відсічного крану Ду15 – 1 шт.  Ремонт та гідравлічні випробування системи опалення, заміна вентилів на стояках Ду15 – 3 шт., ремонт вентилів на стояках Ду20 – 24 шт., часткова теплоізоляція трубопроводів Ду50 – 8 м.п., Ду20 – 6 м.п. Маркування трубопроводів в тепловому вузлу.  (техпідвал 3під.) – заміна частки лежаку опалення (обратка) Ду50 – 3 м.п., за допомогою електрозварювання включаючи (привариш – 2 шт., коліно – 2 шт., муфта – 3 шт.). кв.54 – заміна крану «Маєвського» на радіаторі опалення.  кв.2 – заміна підводок до радіатору опалення Ду20 – 3 м.п. за допомогою електрозварювання, включаючи (привариш – 2 шт., муфта – 2 шт.).  кв.50 – усунення течі опалення рушникосушарки (кран – «американка»).   кв.7 – заміна стояку опалення Ду32 – 2 м.п. за допомогою електрозварювання, включаючи (привариш – 1 шт.).  кв.15 – заміна частки трубопроводу водовідведення Ду110 – 4,5 м.п. через перекриття.  кв.54 – заміна частки трубопроводу водовідведення ПХВДу110х1500 – 2 шт., компенсатор Ду110 – 1 шт., манжет гумовий Ду124х110 – 1 шт.  Благоустрій прибудинкової території: зрізання сухих та підрізання дерев, кущів, порослі  озеленювачем, демонтаж металевих залишків (арматура та т.п.).  Фарбування урн – 2 шт. (прибудинкова).  Фарбування лав для відпочинку – 2 шт. (прибудинкова).  Фарбування елементів  дитячого майданчика (прибудинкові): вертушка - 1шт., качеля – 2 шт., гірка – 1 шт.   (1 під.) – ремонт водостічної труби – 2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</si>
  <si>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кв.27 - заміна стояку водопостачання Ду25 – 2 м.п., заміна сікучого крану Ду25 – 1 шт. за допомогою електрозварювання включаючи (привариш – 2 шт., муфта – 2 шт., коліно – 4 шт.).  (техпідвал 2під.) – заміна лежаку обратки ц/о Ду80 – 6 м.п. за допомогою електрозварювання, аварійне усунення течі.  кв.24 - заміна стояку опалення Ду25 – 3 м.п. через міжповерхове перекриття (з техпідвалу) за допомогою електрозварювання включаючи (привариш – 2 шт., муфта – 2 шт.).  Ремонт та гідравлічні випробування системи опалення, заміна вентилів на стояках Ду15 – 3 шт., ремонт вентилів на стояках Ду20 – 24 шт., часткова теплоізоляція трубопроводів Ду50 – 4 м.п., Ду20 – 2 м.п. Маркування трубопроводів в тепловому вузлу.  (техпідвал 2 під.) – ремонт с заміною частки лежаку каналізації ПХВ110 – 1 м.п., включаючи фасоніну (коліно Ду110/45 – 2 шт., ревізія Ду110 – 1 шт., трійник Ду110/45 – 1 шт.).   (2 під.) – ремонт люку в підвал за допомогою електрозварювання.   (3 під) – ремонт люку виходу на дах, електрозварювальні роботи.  Благоустрій прибудинкової території: зрізання сухих та підрізання дерев, кущів, порослі, викопування пнів озеленювачем. Фарбування урн – 6 шт. Фарбування лав для відпочинку – 3 шт.  Фарбування дитячих майданчиків: вертушка – 1 шт., качеля – 2 шт., гірка велика – 1 шт., погрузчик – 1 шт., качалка – 1 шт.  Ремонт лав – 1 шт., заміна планок на лавах для відпочинку (прибудинкова) – 2 шт. Фарбування стойок на білизняному майданчику. На дитячому майданчику ремонт дитячого ігрового комплексу, заміна дер. планок, ремонт 2-х лав для відпочинку, заміна дер. рейок – 2 шт.    </t>
  </si>
  <si>
    <t>Поточний ремонт багатоквартирного житлового будинку з заміною водозливних труб за адресою: м. Чорноморськ, вул. Данченка, 21: труб - 112 м.п., воронок - 7 шт. (97294,37 грн.)</t>
  </si>
  <si>
    <t xml:space="preserve">кв.63 – заміна сікучого крану Ду25 – 1 шт. на стояку х/в за допомогою електрозварювання, аварійне усунення течі включаючи (привариш – 2 шт., муфта – 1 шт.).   кв.5 – заміна сікучого крану Ду25 – 1 шт. на стояку х/в.  кв.51 - зміна врізки на стояку водопостачання за допомогою електрозварювання, аварійне усунення течі.  кв.41 – заміна частки стояку опалення Ду20 – 2 м.п. за допомогою електрозварювання, аварійне усунення течі включаючи (привариш – 2 шт., муфта – 2 шт.). (техпідвал 2 під.) - заміна частки стояку ц/о Ду20 – 1 м.п. за допомогою електрозварювання.   Ремонт та гідравлічні випробування системи опалення, ремонт вентилів на стояках Ду20 – 24 шт., часткова теплоізоляція трубопроводів Ду50 – 4 м.п., Ду20 – 2 м.п. Маркування трубопроводів в тепловому вузлу. Фарбування урн – 1 шт. Фарбування урн – 3 шт. Фарбування лав для відпочинку – 2 шт. (прибудинкова).  Ремонт лав – 1 шт., заміна планок на лавах для відпочинку (прибудинкова) – 1 шт.  Фарбування стойок на білизняному майданчику.  На дитячому майданчику підрізання аварійної гілки над горкою.  На дитячому майданчику ремонт горки, заміна дер. планок.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</si>
  <si>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кв.51 – зміна врізки на стояку х/в за допомогою електрозварювання, аварійне усунення течі. (3 під.) – установка лічильників для поливу.  (техпідвал 4 під.) – заміна частки трубопроводу водопостачання Ду32 – 2 м.п., за допомогою електрозварювання включаючи (привариш – 2 шт., коліно – 2 шт., кран Ду25 – 1 шт.).  кв.56 – зміна врізки на стояку х/в за допомогою електрозварювання, аварійне усунення течі. кв.61 – заміна стояку ц/о Ду32 – 2 м.п. за допомогою електрозварювання включаючи (привариш – 1 шт.), аварійне усунення течі. Ремонт та гідравлічні випробування системи ц/о, заміна вентилів на стояках Ду20 – 2 шт., ремонт вентилів на стояках Ду20 – 22 шт., часткова теплоізоляція трубопроводів Ду50 – 6 м.п., Ду20 – 4 м.п. Маркування трубопроводів в тепловому вузлу.  кв.60 – заміна крану «Маєвського» на радіаторі опалення.  кв.49 - заміна каналізаційного стояку ЧК100 на ПХВ110 – 1,5 м.п. включаючи фасоніну (перехід Ду110/124 – 1 шт., перехід гумовий Ду110/124 – 1 шт., компенсатор Ду110 – 1 шт., відвід Ду110/90 – 2 шт., трійник Ду110/45 – 1 шт.). Благоустрій прибудинкової території: зрізання сухих та підрізання дерев, кущів, порослі, викопування пнів озеленювачем, демонтаж металевих залишків (арматура та т.п.). Фарбування урн – 1 шт.  Фарбування лав для відпочинку – 3 шт.  Фарбування стойок на  білизняних майданчиках.  (4 під., торець) – ремонт цоколю. (1 під.) – встановлення вентиляційної труби Ду110 – 1 м.п., коліно Ду100 – 2 шт. та «грибка» - 2 шт. на вентиляційні отвіри - 2 од. в підвалі. (1 під.) – прочищення водостічної воронки, труби.  (2п.) – ремонт водостічної воронки.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</si>
  <si>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кв.7 – заміна частки трубопроводу х/в Ду20 – 1 м.п. за допомогою електрозварювання, аварійне усунення течі.   кв.43 – зміна врізки та заміна сікучого крану Ду15 – 1 шт. на стояку водопостачання за допомогою електрозварювання включаючи (привариш – 1 шт.), аварійне усунення течі. («Росинка») – підключення водопостачання, установка крану Ду15 – 1 шт. (оплата ВЕР).  кв.25 – зміна врізки на стояку х/в за допомогою електрозварювання, аварійне усунення течі.  кв.41 - заміна стояку х/в Ду25 – 2 м.п. за допомогою електрозварювання, включаючи (привариш – 1 шт., муфта – 2 шт., кут – 2 шт., трійник – 1 шт., кран Ду25 – 1 шт.).  (техпідвал 2 під.) – установка крану Ду15 – 1 шт. на стояку опалення по кв.23 з послідуючим розповітренням.   кв.15 – заміна стояку опалення Ду16 – 2 м.п. за допомогою електрозварювання включаючи (привариш – 2 шт., фітинг – 2 шт., коліно 16 / 1/2 – 1 шт.). Поточний ремонт покрівлі: кв.19, 59 – 3 кв.м.  Виготовлення, фарбування та встановлення дверей виходу на дах: уголок 32х32 – 8 м.п., мет.лист. δ2мм – 1 шт., навіс – 2 шт., арматура – 1,5 м.п.  Благоустрій прибудинкової території: зрізання сухих та підрізання дерев, кущів, порослі, викопування пнів озеленювачем. Фарбування урн – 1 шт.  Ремонт лав – 1 шт., заміна планок на лавах для відпочинку – 2 шт. Фарбування лав для відпочинку – 8 шт. Фарбування елементів на дитячих майданчиках (прибудинкові): гірка – 1 шт., качеля – 1 шт., качалка – 1 шт., вертушка – 1 шт.   Фарбування стойок на  білизняних майданчиках. На дитячому майданчику ремонт гойдалки, електрозварювальні роботи.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</si>
  <si>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(техпідвал 3під.) – ремонт лежаку х/в Ду40, установка ремкомплекту – 1 шт., аварійне усунення течі. Ремонт та гідравлічні випробування системи ц/о, ремонт вентилів на стояках Ду20 – 22 шт., часткова теплоізоляція трубопроводів Ду50 – 8 м.п., Ду20 – 3 м.п. Маркування трубопроводів в тепловому вузлу.  У РБД ремонт балансиру з дитячого майданчику, електрозварювальні роботи, встановлення балансиру.  Благоустрій прибудинкової території: зрізання сухих та підрізання дерев, кущів, порослі, викопування пнів озеленювачем.  Фарбування урн – 3 шт. (прибудинкова).  Ремонт лав – 2 шт., заміна планок на лавах для відпочинку (прибудинкова) – 5 шт.  Фарбування лав для відпочинку (прибудинкова) – 5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ТО обслуговування ВРЩ-0,4кВ; заміна триполюсного автомата 80А.   </t>
  </si>
  <si>
    <t>"Поточний ремонт, заміна випуску госпфекальної каналізації за адресою:м. Чорноморськ, вул. Олександрійська, 7 (1п)" Ду110 - 2 м.п. (18 818,32 грн.)</t>
  </si>
  <si>
    <t xml:space="preserve">(1 під.) – встановлення лічильників для поливу.   кв.9 - аварійне усунення течі х/в, заміна підводки в кухні.  кв.34 – заміна підводок на радіаторі ц/о Ду15 – 2 м.п. за допомогою електрозварювання включаючи (привариш – 2 шт., муфта – 2 шт.) , аварійне усунення течі.   (техпідвал 2під.) – заміна крану Ду20 – 1 шт. на стояку ц/о за допомогою електрозварювання включаючи (привариш – 2 шт., муфта – 1 шт.) , аварійне усунення течі.    Ремонт та гідравлічні випробування системи ц/о, заміна вентилів на стояках Ду15 – 2 шт., ремонт вентилів на стояках Ду20 – 22 шт., часткова теплоізоляція трубопроводів Ду50 – 8 м.п., Ду20 – 3 м.п. Маркування трубопроводів в тепловому вузлу. (техпідвал 3 під.) – ремонт та заміна частки лежаку каналізації ЧК100 на ПХВ110 – 1,5 м.п. включаючи фасоніну (перехід Ду110/124 – 1 шт., муфта – 1 шт.).  Фарбування лав для відпочинку (прибудинкова) – 6 шт., на дитячому майданчику ремонт покриття тротуарної плитки – 1 кв.м. Зафарбування написів наркотичного змісту на фасадах будинків – 1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</si>
  <si>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кв.14 – ремонт трубопроводу водопостачання, заміна відсічного крану Ду15 – 1 шт. кв.31 – заміна підводок до радіатору опалення Ду20 – 3 м.п. за допомогою електрозварювання, аварійне усунення течі.  Ремонт та гідравлічні випробування системи опалення: ремонт вентилів на стояках Ду20 – 24 шт., часткова теплоізоляція трубопроводів Ду50 – 4 м.п., Ду20 – 2 м.п. Маркування трубопроводів в тепловому вузлу.   (2 під.) – встановлення кодового замку на двері входу до під’їзду.   Благоустрій: зрізання сухих та підрізання дерев, кущів, порослі, викопування пнів озеленювачем. Демонтаж металевих залишків (арматура та т.п.). Фарбування урн – 1 шт. Фарбування лав для відпочинку – 3 шт. Фарбування стойок на білизняних майданчиках.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</si>
  <si>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(3 під.) – установка лічильника для поливу.  кв.49 – заміна стояку х/в Ду32 – 2 м.п. за допомогою електрозварювання, включаючи (привариш – 1 шт., муфта Ду32 – 2 шт., кут Ду32 – 2 шт., трійник – 1 шт.).   (техпідвал 1 під.) – заміна крану Ду20 – 2 шт. на стояках опалення. Ремонт та гідравлічні випробування системи ц/о, заміна вентилів на стояках Ду20 – 2 шт., ремонт вентилів на стояках Ду20 – 24 шт., часткова теплоізоляція трубопроводів Ду50 – 6 м.п., Ду20 – 3 м.п. Маркування трубопроводів в тепловому вузлу. кв.103/107 - заміна каналізаційного стояку ЧК100 на ПХВ110 – 2 м.п. через міжповерхове перекриття включаючи фасоніну (перехід Ду110/124 – 1 шт., перехід гумовий Ду110/124 – 1 шт., компенсатор Ду110 – 1 шт., відвід Ду110/90 – 2 шт., хрестовина Ду110/45 – 1 шт.).  кв.107 - заміна каналізаційного стояку ЧК100 на ПХВ110 – 1,5 м.п. через міжповерхове перекриття включаючи фасоніну (перехід Ду110/124 – 1 шт., перехід гумовий Ду110/124 – 1 шт., компенсатор Ду110 – 1 шт., відвід Ду110/90 – 2 шт., хрестовина Ду110/45 – 1 шт.).  (техпідвал 1 під.) – заміна крану Ду20 – 2 шт. на стояках опалення.   (техпідвал 3 під.) – ремонт каналізаційного лежаку ПВХ110 – 1 м.п. з заміною коліно 110/45 – 2 шт., глушка Д110 – 2 шт.   кв.5 – заміна стояку каналізації ЧК100 на ПХВ110 – 2 м.п. включаючи фасоніну (перехід Ду110/124 – 1 шт., перехід гумовий Ду110/124 – 1 шт., відвід Ду110/45 – 2 шт., трійник Ду110/45 – 1 шт., компенсатор – 1 шт.).  (техпідвал 3 під.) – ремонт лежаку каналізації ПХВ110 – 1 м.п. включаючи фасоніну (відвід Ду110/45 – 3 шт., глушка – 2 шт.).  (техпідвал 2 під.) – ремонт та заміна частки лежаку каналізації ПВХ110 – 1.м.п., коліно Ду110/45 – 2 шт., трійник Ду110/45 – 1 шт.   (техпідвал 2 під.) – ремонт та заміна частки стояку каналізації ПВХ110 – 1 м.п. (коліно Ду110/45 – 2 шт., глушка Ду110 – 1 шт.).   (2 під.) - ремонт дверей виходу на дах за допомогою електрозварювання. Благоустрій прибудинкової території: зрізання сухих та підрізання дерев, кущів, порослі, викопування пнів озеленювачем. Фарбування урн – 5 шт. Фарбування лав для відпочинку (прибудинкова) – 12 шт.  Фарбування елементів на дитячих майданчиках (прибудинкові): карусель – 1 шт., качалка – 1 шт., качеля – 1 шт., піраміда – 1 шт., турнік – 1 шт.   Фарбування стойок на  білизняних майданчиках.  Зафарбування написів наркотичного змісту на фасадах будинків – 1 кв.м. (3 під.) – в Укритті встановлення боксу для роутеру.  (3 під.) – виготовлення, фарбування та встановлення поручню при входу до підвалу, труба Ду25 – 3 м.п., арматура Д12 – 1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</si>
  <si>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"Поточний ремонт фасаду житловго будинку за адресою:м. Чорноморськ, вул. Олександрійська, 4-А" - 49 014,26 грн. Капітальний ремонт (заміна) ліфту за адресою: Одеський район, Одеська область, м. Чорноморськ, вул. Олександрійська, 4-А (1) - 242 161,24 грн. (бюджет). Авторський нагляд "Капітальний ремонт (заміна) ліфту" ( 4111,98 грн.). </t>
  </si>
  <si>
    <t>кв.219 - заміна стояку х/в Ду16 – 1,5 м.п. (металопласт) за допомогою електрозварювання включаючи (привариш – 1 шт., фітинг – 2 шт.), аварійне усунення течі.  кв.152 – зміна врізки на трубопроводі х/в, заміна сікучого крану Ду15 – 1 шт. за допомогою електрозварювання включаючи (муфта – 1 шт.) , аварійне усунення течі.   кв.88 – заміна частки трубопроводу х/в Ду20 – 1 м.п. за допомогою електрозварювання, аварійне усунення течі.   (2,4 під.) – встановлення лічильників для поливу. кв.160 - заміна крану Ду15 – 1 шт.  на трубопроводі х/в за допомогою електрозварювання включаючи (привариш – 1 шт.). кв.246 - аварійне усунення течі, заміна підводки бачку унітазу. кв.96 - заміна врізки на стояку х/в, заміна крану Ду15 – 1 шт., за допомогою електрозварювання, аварійне усунення течі.  (техпідвал 5 під.) – усунення течі на стояку г/в за допомогою електрозварювання. кв.239 – заміна стояку опалення Ду25 – 2 м.п., за допомогою електрозварювання включаючи (привариш – 2 шт., муфта – 2 шт.).  (1,2,3 елеватори) - ремонт та гідравлічні випробування системи опалення: заміна кранів Ду15 – 3 шт., Ду20 – 2 шт.. ремонт вентилів на стояках Ду20 – 28 шт., часткова теплоізоляція трубопроводів Ду50 – 12 м.п., Ду20 – 6 м.п. Маркування трубопроводів в тепловому вузлу.  (техпідвал 6 під.) - заміна частки стояку ц/о Ду20 – 2 м.п., заміна кранів Ду20 – 2 шт., Ду15 – 1 шт., за допомогою електрозварювання включаючи (привариш – 6 шт., муфта – 3 шт.).    (техпідвал 1 під.) - заміна частки стояку ц/о Ду20 – 2 м.п., заміна кранів Ду20 – 1 шт., Ду15 – 1 шт., за допомогою електрозварювання включаючи (привариш – 4 шт., муфта – 2шт.).  кв.185 - аварійне усунення течі по стояку опалення (кран – «американка»).  кв.82 – установка ремкомплекту Ду32 – 1 шт. на стояку опалення, аварійне усунення течі.  кв.219 - заміна каналізаційного стояку ЧК100 на ПХВ110 – 3 м.п. з техпідвалу через міжповерхове перекриття включаючи фасоніну (перехід Ду110/124 – 1 шт., перехід гумовий Ду110/124 – 1 шт., компенсатор Ду110 – 1 шт., відвід Ду110/45 – 2 шт., відвід Ду110/90 – 2 шт., трійник Ду110/50/90 – 1 шт., кріплення – 4 шт.).   кв.1/5 - заміна каналізаційного стояку ЧК100 на ПХВ110 – 3 м.п. через міжповерхове перекриття включаючи фасоніну (перехід Ду110/124 – 1 шт., перехід гумовий Ду110/124 – 1 шт., компенсатор Ду110 – 1 шт., трійник Ду110/45 – 1 шт., відвід Ду110/45 – 2 шт., муфта Ду110 – 1 шт., ревізія Ду110 – 1 шт., трійник Ду110/50/90 – 2 шт., кріплення – 4 шт.).   кв.159 – ремонт каналізаційного стояку ЧК100 методом бандажування – 0,2м²   (техпідвал 3,4,5 під.) – установка каналізаційних глушок на лежаках каналізації ПХВ110 – 5 шт. (техпідвал 5 під.) – ремонт лежаку каналізації ПХВ110 – 1 м.п. включаючи фасоніну (відвід Ду110/45 – 2 шт., глушка – 2 шт.).  (техпідвал 2 під.) – ремонт лежаку каналізації ПХВ110 – 1 м.п. включаючи фасоніну (відвід Ду110/45 – 2 шт.).   кв.92 – ремонт стояку каналізації ЧК110 – 0,2м² методом бандажування.  (техпідвал 6під.) – ремонт та заміна частки каналізації ПВХ50 – 1 м.п. (коліно Ду50/45 – 4 шт., трійник – 1 шт.).  4а (техпідвал 4 під.) – ремонт та заміна частки каналізації ЧК50 на ПХВ50 – 1,5.м.п. включаючи фасоніну (перехід Ду50/75 – 1 шт., перехід гумовий – 1 шт., коліно Ду50/45 – 2 шт.).  (техпідвал 6 під.) - заміна частки каналізації ЧК50 на ПВХ50 – 2 м.п. (перехід Ду50/75 – 1 шт., перехід гумовий – 1 шт., коліно Ду50/45 – 4 шт., трійник Ду50 – 2 шт.).  (техпідвал 3під.) – ремонт та заміна частки каналізації ПВХ110 – 1 м.п. (перехід Ду110/50 – 1 шт., коліно Ду50/45 – 2 шт., трійник Ду50 – 1 шт.).  (техпідвал 4 під.) - ремонт та заміна частки каналізації ПВХ110 – 1 м.п. (перехід Ду110/50 – 1 шт., трійник Ду110/50/45 – 1 шт., коліно Ду50/45 – 2 шт., трійник Ду50 – 1 шт.).  (техпідвал 4 під.) – ремонт та заміна частки лежаку каналізації ПВХ110 – 3 м.п. включаючи фасоніну (коліно Ду110/90 – 2 шт., трійник Ду110 – 1шт.). Поточний ремонт покрівлі: кв.71, 70, 108, 109 – 15 кв.м. Встановлення замків (2,5 під. підвал) - 2 шт.  На дитячому майданчику демонтаж гойдалки для ремонту в РБД,  встановлення гойдалки після ремонту (заміна підшипників).  Зрізання сухих та підрізання дерев, кущів, порослі озеленювачем.  Ремонт лав – 4 шт., заміна планок на лавах для відпочинку (прибудинкова) – 6 шт.  Фарбування лав для відпочинку – 10 шт. Фарбування елементів на дитячих майданчиках: качеля – 2 шт., качалка – 1 шт., гірка велика – 1 шт., гірка – 1 шт., вертушка – 1 шт., шведська стінка – 3 шт., велика шведська стінка – 1 шт., турнік – 2 шт.   Фарбування стойок на  білизняних майданчиках.  Прибирання автошин по альтфатерам.   На спортивному майданчику ремонт мет. огорожі, електрозварювальні роботи.  Демонтаж металевих конструкцій.   (5 під.) – виготовлення та встановлення пандусу – 2 од. (на ганку входу в під’їзд та на 1 поверсі), уголок 32х32 – 2 м.п., проф.труба 40х20 – 2 м.п., 20х20 – 10 м.п., арматура Д12 – 2 м.п., полоса 40 – 2 м.п., лист OSB, навіс – 2 шт., уголок 50х50 – 24 м.п., сітка (просечка) – 3 м.п., арматура – 6 м.п., (5 під.) – виготовлення та встановлення поручню – 2 шт. (на вулиці), труба Ду40 – 36 м.п. Перестановка пандусу. Переобладнання пандусу, уголок 35х35 – 37 м.п., сітка просічка – 2 листа.  (техповерх 2 під.) - заміна частки внутрішнього водостоку ЧК100 на ПХВ110 – 1 м.п., (коліно Ду110/45 – 2 шт., ревізія Ду110 – 1 шт., перехід Ду110/124 – 1 шт., перехід гумовий – 1 шт.).  ТО обслуговування ВРЩ-0,4кВ заміна рубильників – 2шт.;  вимір напруги; розподіл навантаження; ізоляція дротів;   ТО обслуговування ВРЩ-0,4кВ вимір напруги; розподіл навантаження; ізоляція дротів</t>
  </si>
  <si>
    <t xml:space="preserve">кв.59 – зміна врізки х/в за допомогою електрозварювання, аварійне усунення течі.  (2 під.) - установка лічильника для поливу включаючи (труба Ду16 – 5 м.п., кран Ду15 – 2 шт., фітинг - 2 шт., куточок - 1 шт., незворотній клапан – 1 шт.). (техпідвал 1,2,3 під) – ремонт системи ц/о, ремонт вентилів на стояках Ду20 – 24 шт., часткова теплоізоляція трубопроводів Ду50 – 30 м.п., Ду20 – 5 м.п. Гідравлічні випробування системи ц/о. Маркування трубопроводів в тепловому вузлу.  кв.22 – заміна підводок до радіатору за допомогою електрозварювання включаючи (привариш – 2 шт.).  (техпідвал 3 під.) – заміна крану Ду20 – 1 шт. на стояку опалення.  кв.10 – заміна частки трубопроводу опалення (підведення до радіатору) Ду20 – 0,5 м.п. та в підвалі Ду25 – 2 м.п.   (3 під.) – ремонт урни для сміття за допомогою електрозварювання.   Благоустрій прибудинкової території: зрізання сухих та підрізання дерев, кущів, порослі, викопування пнів озеленювачем. Ремонт лав – 2 шт., заміна планок на лавах для відпочинку (прибудинкова) – 3 шт.  Фарбування урн (прибудинкова) – 1 шт.   Фарбування лав для відпочинку (прибудинкова) – 9 шт., на дитячому майданчику ремонт каруселі, заміна підшипника.  На дитячому майданчику ремонт покриття тротуарної плитки – 1 кв.м. Зафарбування написів наркотичного змісту на фасадах будинків – 1 кв.м.  </t>
  </si>
  <si>
    <t xml:space="preserve">кв.59 - зміна врізки на стояку водопостачання, аварійне усунення течі. Установка лічильників для поливу. (техпідвал 3під.) – заміна крану Ду25 – 1 шт. на стояку х/в за допомогою електрозварювання включаючи (привариш – 1 шт.).  кв.39 – зміна врізки на стояку водопостачання за допомогою електрозварювання, аварійне усунення течі.  (техпідвал 2 під.) – ремонт стояку г/в Ду32 – установка ремкомплекту, аварійне усунення течі. (техпідвал 3під.) – зміна врізки на стояку ц/о, заміна крану Ду15 – 1 шт. за допомогою електрозварювання, аварійне усунення течі.  кв.107 – установка крану «Маєвського» на радіаторі опалення.  кв.33-а/29 – ремонт, заміна частки трубопроводу опалення Ду25 – 2 м.п., уголок Ду25, кран кульовий Ду15 – 1 шт., Ду20 – 2 шт., муфта МРН25 – 2 шт., трійник Ду25/20 – 1 шт.  (2 під.) – заміна частки трубопроводу водовідведення ПХВ110 – 3 м.п.  Поточний ремонт покрівлі: (3п.) – 10 кв.м.; Олек.2,2-а - ремонт примикання між будинками - 5 кв.м. та встановлення захисної планки – 10 м.п. Благоустрій: зрізання сухих та підрізання дерев, кущів, порослі озеленювачем.  Фарбування урн – 5 шт. Фарбування лав для відпочинку – 11 шт. Фарбування елементів на дитячих майданчиках (прибудинкові): карусель – 1 шт., качеля – 1 шт., стінка – 1 шт., гірка – 1 шт.   Фарбування стойок на  білизняних майданчиках.   (2 під) – ремонт огорожі палісадника за допомогою електрозварювання. Зафарбування написів наркотичного змісту на фасадах будинків – 1 кв.м. (2 під., 9 поверх) – закладання вікна на сходовому марші OSB – 1,3х0,7 кв.м. (після прильоту).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</si>
  <si>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Поточний ремонт, заміна безтраншейним способом випуску госпфекальної каналізації за адресою: м. Чорноморськ, проспект Миру, 1 (4 підїзд, 2-й випуск) Ду110 – 15 м.п. (59 786,15 грн.).  </t>
  </si>
  <si>
    <t xml:space="preserve">(4 під) - установка лічильника для поливу включаючи (труба Ду16 – 5 м.п., кран Ду15 – 2 шт., фітинг – 2 шт., куточок – 1 шт., незворотній клапан – 1 шт., трійник – 1 шт., кріплення – 4 шт.).  кв.24 – заміна врізки на стояку водопостачання за допомогою електрозварювання, аварійне усунення течі.  Ремонт та гідравлічні випробування системи опалення, заміна вентилів Ду15 – 2 шт., ремонт вентилів на стояках Ду20 – 36 шт., часткова теплоізоляція трубопроводів Ду50 – 12 м.п., Ду20 – 6 м.п. Маркування трубопроводів в тепловому вузлу. Зняття шайб на трубопроводах подачі в елеваторних вузлах (згідно розпорядження ЧТЕ).  Встановлення шайби на ел. вузол. Благоустрій: зрізання сухих та підрізання дерев, кущів, порослі, викопування пнів озеленювачем. Фарбування урн – 4 шт. Фарбування лав для відпочинку – 8 шт. Ремонт лав для відпочинку – 3 шт., заміна планок – 5 шт. (прибудинкова).  Фарбування елементів  дитячого майданчика (прибудинкові): карусель – 1 шт., качалка - 1 шт., качель – 1 шт., барабан – 1 шт. Фарбування стойок на білизняних майданчиках.  (3 під.) – ремонт дверей входу в під’їзд, зварювальні роботи.  (3 під.) – ремонт ганку входу в під’їзд, ремонт сходів, відбиття пошкодженої штукатурки, штукатурка ганку, окраска. Прочищення водостічних труб та воронок із застосування спеціалізованного автотранспорту Атовишки.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</si>
  <si>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(техпідвал 5 під.) – заміна частки стояку ц/о Ду25 – 1 м.п., заміна кранів Ду25 – 1 шт., Ду15 – 1 шт., за допомогою електрозварювання включаючи (привариш – 2 шт., муфта – 2 шт.), (горище 5 під.) – заміна частки стояку ц/о Ду25 – 1 м.п., заміна крану Ду25 – 1 шт., за допомогою електрозварювання включаючи (привариш – 1 шт., муфта – 2 шт.), ремонт та гідравлічні випробування системи ц/о, ремонт вентилів на стояках Ду20 – 36 шт., часткова теплоізоляція трубопроводів Ду50 – 8 м.п., Ду20 – 6 м.п. Маркування трубопроводів в тепловому вузлу.  Зняття шайб на трубопроводах подачі в елеваторних вузлах (згідно розпорядження ЧТЕ).  (6 під.) – заміна частки лежаку опалення Ду25 – 12 м.п., за допомогою електрозварювання, включаючи (привариш – 2 шт., муфта Ду25 – 4 шт., муфта МРН 25*3/4 – 4 шт., згін-американка ВР 25*3/4 – 4 шт.).  Ремонт системи опалення, заміна трубопроводу Ду89 – 0,5 м.п., фланцу Ду80 - 1 шт.  Встановлення шайби на ел. вузол.   кв.9 – заміна стояку каналізації ЧК100 на ПХВ110 – 2 м.п., включаючи фасоніну (перехід Ду110/124 – 1 шт., перехід гумовий – 1 шт., ревізія Ду110 – 1 шт., коліно Ду110/45 – 2 шт.).   Поточний ремонт покрівлі: (7 під.) – ремонт козирку над входом в під’їзд – 6 кв.м. метало профілю, встановлення жолобу – 3, 5 м.п.  (3 під.) шифер – 1 кв.м. з використанням автовишки КП Зеленгосп.   (2 під.) – 1 кв.м. (шифер) з використанням автовишки Зеленгосп. Фарбування урн – 4 шт. Фарбування лав для відпочинку – 6 шт. Фарбування елементів  дитячого майданчика (прибудинкові): ккарусель – 1 шт., качалка -1 шт., качель – 1 шт.  На дитячому майданчику ремонт горки та каруселі, електрозварювальні роботи.  Зафарбовування надписів на фасадах будинків – 4,2 м². Прочищення водостічних труб та воронок із застосування спеціалізованного автотранспорту Атовишки.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</si>
  <si>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(техпідвал 1 під) - заміна крану Ду20 – 1шт.  на стояку х/в за допомогою електрозварювання включаючи (привариш – 1шт., муфта – 1шт.).  кв.10 - зміна врізки на стояку х/в за допомогою електрозварювання, заміна крану Ду15 – 1 шт., аварійне усунення течі.   Ремонт та гідравлічні випробування системи опалення, заміна вентилів на стояках Ду20 – 2 шт., ремонт вентилів на стояках Ду20 – 18 шт., часткова теплоізоляція трубопроводів Ду50 – 4 м.п., Ду20 – 2 м.п. Маркування трубопроводів в тепловому вузлу.  (техпідвал 2 під.) - заміна частки каналізаційного лежаку ЧК100 на ПХВ110 – 2 м.п.  включаючи фасоніну (перехід Ду110/124 – 1 шт., перехід гумовий Ду110/124 – 1 шт., компенсатор Ду110 – 1 шт.).  кв.6 – ремонт стояку каналізації ЧК100 методом бандажування – 0,3м².   Поточний ремонт покрівлі: кв.11, 12 (шифер) – 4 кв.м. закладання отворів в місцях проходження дротів (піна). Благоустрій прибудинкової території: зрізання сухих та підрізання дерев, кущів, порослі, викопування пнів озеленювачем. Фарбування урн – 1 шт. (прибудинкова).  Фарбування лав для відпочинку – 3 шт. (прибудинкова).  Фарбування стойок на білизняних майданчиках.   Зафарбовування надписів на фасадах будинків – 3,5 м². (2 під.) – ремонт сходів на першому поверсі: встановлення уголка 50х50 – 1, 5 м.п., арматура – 2 м.п., встановлення опалубки, бетонування.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</si>
  <si>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Установка лічильників для поливу.  Ремонт та гідравлічні випробування системи ц/о, заміна вентилів на стояках Ду20 – 8 шт., часткова теплоізоляція трубопроводів Ду50 – 6 м.п., Ду20 – 4 м.п. Маркування трубопроводів в тепловому вузлу. Ремонт та гідравлічні випробування системи ц/о, заміна вентилів на стояках Ду15 – 2 шт., ремонт вентилів на стояках Ду20 – 22 шт., часткова теплоізоляція трубопроводів Ду50 – 4 м.п., Ду20 – 3 м.п. Маркування трубопроводів в тепловому вузлу.  (техпідвал) – ремонт та заміна частки стояку каналізації ПВХ110 – 1 м.п. (коліно Ду110/45 – 2 шт.).  Поточний ремонт покрівлі: кв.20 – 2 кв.м., 5 кв.м.; Олек.2,2-а - ремонт примикання між будинками - 5 кв.м. та встановлення захисної планки – 10 м.п. Благоустрій: зрізання сухих та підрізання дерев, кущів, порослі озеленювачем. Фарбування урн (прибудинкова) – 1 шт.  Фарбування лав для відпочинку (прибудинкова) – 2 шт.  Фарбування елементів на дитячих майданчиках (прибудинкові): баскет.щит – 2 шт., стінка велика – 1 шт., ворота – 2 шт. Облаштування пандуса на ганку – укладка тротуарної плити – 1кв.м.  Виготовлення, фарбування пандусу та встановлення в під’їзді (дитина інвалід). Уголок 50х50 – 5 м.п., проф.труба 40х20 – 5 м.п., 20х20 – 2 м.п., арматура 10 – 3 м.п., лист OSB – 1 шт. Поручень: труба Ду25 – 4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</si>
  <si>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кв.5 – слабкий напір х/в, прочистка фільтру на лічильнику х/води.    (техпідвал 2під.) – заміна частки стояку водопостачання Ду25 – 1,5 м.п., заміна крану Ду32 – 1 шт., за допомогою електрозварювання включаючи (привариш – 2 шт., перехід – футорка 32/25 – 1 шт.).  (техпідвал 1,2,3під.) – заміна лежаку водопостачання Ду40 – 22 м.п. за допомогою електрозварювання включаючи (привариш – 2 шт., муфта 32*40 – 3 шт., муфта 25*40 – 3 шт., трійник 40 – 3 шт., коліно 40*90 – 6 шт., муфта 40 – 4 шт., коліно 40*45 – 2 шт., муфта 32 – 1 шт., перехід 40*32 – 1 шт., кран кульовий Ду32 – 1 шт.).  Ремонт та гідравлічні випробування системи опалення, заміна вентилів на вантузах Ду15 – 2 шт., ремонт вентилів на стояках Ду20 – 20 шт., часткова теплоізоляція трубопроводів Ду50 – 3 м.п., Ду20 – 1 м.п. Маркування трубопроводів в тепловому вузлу.   Поточний ремонт покрівлі: прибиття коньку на шиферній покрівлі із застосуванням спеціалізованого автотранспорту Автовишки (КП «Зеленгосп».).  Фарбування урн – 1 шт. Фарбування лав для відпочинку – 1 шт. (прибудинкова). Прочищення водостічних труб та воронок із застосування спеціалізованного автотранспорту Атовишки.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</si>
  <si>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кв.8 – зміна врізки на стояку х/в Ду15 – 0,5 м.п., усунення течі.   кв.7 - заміна частки стояку водопостачання Ду20 – 1 м.п., заміна крану Ду20 – 1 шт. за допомогою електрозварювання включаючи (привариш – 2 шт., муфта – 1 шт.). Ремонт та гідравлічні випробування системи опалення, заміна вентилю на вантузі Ду15 – 1 шт., ремонт вентилів на стояках Ду20 – 20 шт., часткова теплоізоляція трубопроводів Ду50 – 4 м.п., Ду20 – 2 м.п. Маркування трубопроводів в тепловому вузлу. Фарбування урн – 1 шт.   Ремонт лав для відпочинку – 1 шт., заміна планок – 4 шт. (прибудинкова).  Фарбування лав для відпочинку – 3 шт. (прибудинкова).   Фарбування стойок на білизняному майданчику.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</si>
  <si>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Встановлення лічильників для поливу. (тепловий вузол) – розбірка/збірка фланцевого з`єднання Ду50 – 1 шт., коригування шайби, заміна болтів, гайок та гумових прокладок.  Ремонт та гідравлічні випробування системи опалення, ремонт вентилів на стояках Ду20 – 22 шт., часткова теплоізоляція трубопроводів Ду50 – 6 м.п., Ду20 – 4 м.п. Маркування трубопроводів в тепловому вузлу. Фарбування урн – 2 шт. (прибудинкова). Фарбування лав для відпочинку (прибудинкова) – 2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</si>
  <si>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кв.49 – зміна врізки на стояку х/в за допомогою електрозварювання включаючи, заміна крану Ду15 – 1 шт., аварійне усунення течі.   (техпідвал 3 під.) – заміна частки стояку х/в Ду25 – 1 м.п. включаючи (муфта – 1 шт.), за допомогою електрозварювання, аварійне усунення течі. (техпідвал 2 під.) – заміна частки стояку х/в Ду25 – 1,5 м.п., заміна сікучого крану Ду25 - 1шт. за допомогою електрозварювання включаючи (привариш – 2 шт., муфта – 2 шт., коліно – 4 шт.) аварійне усунення течі.  кв.19 - зміна врізки на трубопроводі х/в, заміна сікучого крану Ду25 – 1шт. за допомогою електрозварювання включаючи (муфта – 1шт.).  кв.4 – заміна стояку х/в Ду25 – 2 м.п. та заміна крану Ду25 – 1 шт. включаючи (привариш – 2 шт., муфта – 1 шт.) за допомогою електрозварювання.    кв.52 – заміна підводки до унітазу, аварійне усунення течі.   (3 під.) – установка лічильників для поливу.  (елеватор) – закриття вхідних засувок опалення на ж/б (11.02 та 13.02), заміна трубопроводів подачі та обратки опалення представниками ЧТЕ, запуск опалення будинку. (елеватор) – зміна врізки на трубопроводі подачі опалення (грязьовик) за допомогою електрозварювання, аварійне усунення течі.   (техпідвал 1 під.) – заміна частки лежаку ц/о Ду50 – 6 м.п., за допомогою електрозварювання включаючи (привариш – 2 шт., муфта – 3 шт., кріплення – 3 шт.  Ремонт та гідравлічні випробування системи опалення: заміна кранів Ду15 – 2 шт., ремонт вентилів на стояках Ду20 – 24 шт., часткова теплоізоляція трубопроводів Ду50 – 6 м.п., Ду20 – 2 м.п. Маркування трубопроводів в тепловому вузлу. (техпідвал 1,2,3,4 під) – пробиття бетонних перегородок – 0,7м³ для   заміни каналізаційних лежаків ЧК100 на ПХВ110 – 76 м.п. та ЧК50 на ПХВ50 – 10 м.п. в техпідвалі  включаючи фасоніну (перехід Ду110/124 – 22 шт., перехід гумовий Ду110/124 – 22 шт., перехід Ду72/50 – 3 шт., перехід гумовий Ду72/50 – 3 шт., відвід Ду110/45 – 64 шт., відвід Ду50/45 – 8 шт., трійник Ду110/50/45 – 6 шт., трійник Ду110/45 – 24 шт., трійник Ду50/45 – 1 шт., ревізія Ду110 – 32 шт., ревізія Ду50 – 2 шт., кріплення – 64 шт., мастило – 4 шт., герметик – 2 шт., диск – 20 шт.).  кв.56 – заміна стояку каналізації ЧК100 на ПХВ110 – 2 м.п. включаючи фасоніну (перехід Ду110/124 – 1 шт., перехід гумовий Ду110/124 – 1 шт., відвід Ду110/45 – 2 шт., трійник Ду110/45 – 1 шт., компенсатор – 1 шт., муфта – 1 шт.).   кв.4 – заміна стояку каналізації ЧК100 на ПХВ110 – 2 м.п. включаючи фасоніну (перехід Ду110/124 – 1 шт., перехід гумовий Ду110/124 – 1 шт., відвід Ду110/45 – 2 шт., трійник Ду110/45 – 1 шт., компенсатор – 1 шт., муфта – 1 шт.).  (пункт незламності) – установка нового «сололіфту».   кв.26 - заміна стояку каналізації ЧК100 на ПХВ110 – 1,5 м.п. включаючи фасоніну (перехід Ду110/124 – 1 шт., перехід гумовий – 1 шт., коліно Ду110/45 – 2 шт., компенсатор – 1 шт., кріплення – 2 шт.).   Поточний ремонт покрівлі: кв.63 – 5 кв.м, .ремонт парапету, закладання тріщини церезитом, кв.63 – 3 кв.м., ремонт оголовків 3-х вентиляційних каналів з вирубанням руберойду, промазанням мастикою, ремонт примикання – 4 м.п., штукатурка. (2 під.) – 2 кв.м.  (2 під.) – ремонт дверей виходу на дах, заміна 2-х навісів.  Благоустрій прибудинкових територій (зрізання сухих та підрізання дерев, кущів, порослі  озеленювачем). Фарбування урн – 5 шт. Фарбування лав для відпочинку – 5 шт. Укриття – підключення унітаза «сололіфт».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Відновлення освітлення на вході до укриття. Заміна світильнику в укритті.
 </t>
  </si>
  <si>
    <t xml:space="preserve">кв.18 - зміна врізки на трубопроводі х/в за допомогою електрозварювання, аварійне усунення течі.   кв.46 – зміна врізки х/в, заміна частки трубопроводу Ду20 – 1,5 м.п. за допомогою електрозварювання, аварійне усунення течі.   кв.61 – зміна врізки на стояку х/в, аварійне усунення течі.     кв.14 – заміна врізки на стояку водопостачання, заміна крану Ду25 – 1 шт. за допомогою електрозварювання, аварійне усунення течі. Ремонт та гідравлічні випробування системи опалення, ремонт вентилів на стояках Ду20 – 24 шт., часткова теплоізоляція трубопроводів Ду50 – 4 м.п., Ду20 – 2 м.п. Маркування трубопроводів в тепловому вузлу.  кв.78 – заміна крану Ду15 – 1 шт. на стояку опалення для розповітрення системи.   кв.28/32 - заміна стояку опалення Ду20 – 3 м.п. через міжповерхове перекриття за допомогою електрозварювання включаючи (привариш – 2 шт., муфта – 2 шт.).  кв.73 – заміна підводок до радіатору опалення Ду20 – 2 м.п. за допомогою електрозварювання, включаючи (привариш – 2шт., муфта – 2шт.).   кв.73 – заміна підводок до радіатору опалення Ду20 – 2 м.п. за допомогою електрозварювання, включаючи (привариш – 2 шт., муфта – 2 шт.). Фарбування урн – 4 шт. Фарбування лав для відпочинку – 8 шт.  Фарбування стойок на білизняному майданчику.   (4 під.) – ремонт урни – 1 шт. за допомогою електрозварювання (прибудинкова).  Зафарбовування надписів на фасадах будинків  – 2,8 м².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</si>
  <si>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  (техпідвал 1,2,3,4 під) – Капітальний ремонт внутрішньобудинкових мереж водопостачання багатоквартирного житлового будинку за адресою: м.Чорноморськ, проспект Миру, 10 (122 872,01 грн.).  "Поточний ремонт мереж каналізації за адресою: м. Чорноморськ, проспект Миру, 10" - 8 396,09 грн.  </t>
  </si>
  <si>
    <t xml:space="preserve">(техпідвал 4під.) - заміна частки стояку х/в Ду25 – 2 м.п., заміна крану Ду25 – 1 шт. за допомогою електрозварювання включаючи (привариш – 2 шт., муфта – 2 шт., куточок Ду25*90 – 2.шт.).   (техпідвал 1,2,3,4 під) – Капітальний ремонт внутрішньобудинкових мереж водопостачання багатоквартирного житлового будинку: заміна лежаків та стояків х/в на труби ППРДу50 – 104 м.п., Ду32 – 56 м.п., за допомогою електрозварювання, включаючи (привариш 25 – 12 шт., кран Ду15 – 20 шт., кран Ду25 – 16 шт., коліно 25*90 – 10 шт., 32*45 – 25 шт., 32*90 – 20 шт., 50*90 – 20 шт., перехід 20*1/2 – 6 шт., 32*1 – 45 шт., 32*3/4 – 4 шт., 50*1 1/2 – 1 шт., муфта 50*32 – 10 шт., 32 – 20 шт., 50 – 20 шт., 50*20 – 4 шт., ніпель перехідник 25*20 – 3 шт., трійник 50*32*50 – 25 шт., 50 – 5 шт., 32*1/2 – 20 шт., кріплення – 50 шт., фум – 10 шт.).  кв.13 – зміна врізки на стояку х/в за допомогою електрозварювання, аварійне усунення течі.   кв.30 - зміна врізки Ду15 – 0,5 м.п. на стояку водопостачання за допомогою електрозварювання включаючи (привариш –  1 шт.), аварійне усунення течі.   22н – зміна врізки на стояку х/в, заміна крану Ду15 – 1 шт. за допомогою електрозварювання, аварійне усунення течі.  кв.35 – заміна врізки на стояку х/в за допомогою електрозварювання, аварійне усунення течі.  кв.9 – заміна сікучого крану Ду20 – 1 шт., аварійне усунення течі х/в.  кв.9 – заміна сікучого крану Ду20 – 1 шт., аварійне усунення течі х/в.  кв.9 - зміна врізки на стояку х/в, за допомогою електрозварювання, аварійне усунення течі. кв.41 – заміна підводок до радіатору опалення Ду16 – 2 м.п. за допомогою електрозварювання включаючи (привариш – 2 шт., фітинг – 2 шт., футорка – 2 шт.).  Ремонт та гідравлічні випробування системи опалення, ремонт вентилів на стояках Ду20 – 24 шт., часткова теплоізоляція трубопроводів Ду50 – 4 м.п., Ду20 – 2 м.п. Маркування трубопроводів в тепловому вузлу. Фарбування урн – 3 шт.  Фарбування елементів дитячих майданчиків (прибудинкові): (качеля – 2 шт., качалка – 1 шт., гірка – 1 шт., турнік – 2 шт., стінка – 1 шт.).  (1 під.) – ремонт водоприймальної воронки, закріплення, ремонт водостічної труби – 1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(2 п.) – монтаж світильнику за заявою на вході у під’їзд – 1 шт.    </t>
  </si>
  <si>
    <t xml:space="preserve">кв.42 – зміна врізання на стояку х/в Ду15 за допомогою електрозварювання, усунення течі.   кв.44 - заміна частки стояку х/в Ду20 – 1,5 м.п., заміна крану Ду20 – 1 шт. за допомогою електрозварювання включаючи (привариш – 1 шт., муфта – 1 шт.), аварійне усунення течі.   Встановлення лічильників для поливу.  кв.42 – ремонт трубопроводу водопостачання, заміна відсічного крану Ду15 – 1 шт.  Ремонт та гідравлічні випробування системи опалення, ремонт вентилів на стояках Ду20 – 24 шт., часткова теплоізоляція трубопроводів Ду50 – 12 м.п., Ду20 – 6 м.п. Маркування трубопроводів в тепловому вузлу.  кв.14 - заміна лежаку опалення Ду50 – 3 м.п. за допомогою електрозварювання, включаючи (привариш – 2 шт., муфта Ду50 – 2 шт.), усунення течі.  (техпідвал 3під.) – заміна крану Ду20 – 1 шт. на стояку ц/о, аварійне усунення течі.  кв.14 – заміна стояку опалення Ду25 – 2 м.п. за допомогою електрозварювання, включаючи (привариш – 2 шт., муфта – 2 шт.), установка заглушки на трубопровід г/в за допомогою електрозварювання.  кв.14 - заміна стояку опалення Ду50 – 3 м.п. за допомогою електрозварювання, включаючи (коліно – 1 шт.).  (3 під.) – заміна стояку каналізації ЧК100 на ПХВ110 – 2 м.п. з техпідвалу до магазину «м`ясо», через міжповерхове перекриття включаючи фасоніну (коліно Ду110/45 – 2 шт., ревізія Ду110 – 1 шт., перехід 110/124 – 1 шт., перехід гумовий –  1шт., компенсатор, кріплення – 2 шт.).  (укриття 4 під.) – установка нового «сололіфту».  кв.14 - заміна стояку каналізації ЧК100 на ПХВ110 – 4,5 м.п. включаючи фасоніну (перехід гумовий – 1 шт., перехід Ду110/50 – 1 шт., коліно Ду110/90 – 2 шт., муфта Ду110 – 1шт., компенсатор – 1 шт.). Поточний ремонт покрівлі: кв.47 – 3 кв.м., кв.61, 62, 63 – 7 кв.м.  (укриття) – ремонт дверей за допомогою електрозварювання, заміна петель – 2 шт.   Викопування та прибирання автошин з прибудинкової території.  Фарбування урн – 5 шт. Фарбування лав для відпочинку – 4 шт. Фарбування стойок на білизняному майданчику.   (2 під.) – ремонт урни – 1 шт. (прибудинкова) за допомогою електрозварювання.  Зафарбування написів наркотичного змісту на фасадах будинків (3 під.) – 1 кв.м.  кв.45 – демонтаж аварійних частин штукатурки плити балкону з використанням автовишки КП Зеленгосп.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</si>
  <si>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кв.18 - заміна частки стояку водопостачання Ду20 – 1 м.п. за допомогою електрозварювання включаючи (привариш – 1 шт.).    (техпідвал 2,3під.) – заміна частки лежаку водопостачання Ду50 – 4 м.п. за допомогою електрозварювання включаючи (привариш – 1 шт.), аварійне усунення течі.   кв.10 - заміна частки стояку х/в Ду20 – 1 м.п. за допомогою електрозварювання, заміна крану Ду15 – 1 шт., аварійне усунення течі.  кв.10 – заміна частки трубопроводу водопостачання Ду25 – 1 м.п., заміна крана кульового Ду15 – 1 шт.  кв.39 – заміна стояку ц/о Ду15  – 2 м.п. за допомогою електрозварювання включаючи (привариш – 2 шт., фітинг – 2 шт.). Ремонт та гідравлічні випробування системи опалення, ремонт вентилів на стояках Ду20 – 18 шт., часткова теплоізоляція трубопроводів Ду50 – 8 м.п., Ду20 – 5 м.п. Маркування трубопроводів в тепловому вузлу.  кв.10 – заміна частки трубопроводу водовідведення по кухні Ду50х500 – 3 шт., відвід Ду50х90 – 1 шт., трійник Ду50х45 - 2 шт., резинка Ду75х45 – 1 шт. Фарбування лав для відпочинку – 2 шт. (прибудинкова).   Ремонт лав – 1 шт., заміна планок на лавах для відпочинку (прибудинкова) – 2 шт.  Зафарбування написів наркотичного змісту на фасадах будинків – 1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</si>
  <si>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кв.42 - зміна врізки на трубопроводі х/в за допомогою електрозварювання, аварійне усунення течі.  кв.42  - зміна врізки на трубопроводі х/в за допомогою електрозварювання, аварійне усунення течі. кв.26 - аварійне усунення течі х/в, заміна підводки до змішувача. Ремонт та гідравлічні випробування системи опалення, заміна вентилів Ду15 – 2 шт., ремонт вентилів на стояках Ду20 – 24 шт., часткова теплоізоляція трубопроводів Ду50 – 8 м.п., Ду20 – 4 м.п. Маркування трубопроводів в тепловому вузлу.  (техпідвал 4 під.) – ремонт, прочистка та заміна частки лежаку каналізації ПХВ110 – 2 м.п. включаючи фасоніну (коліно Ду110/45 – 2 шт., перехід Ду110/124 – 1 шт.). (техпідвал 4 під) – ремонт та заміна частки каналізації ЧК100 на ПХВ110 – 1 м.п. включаючи (трійник 110/45 – 1шт., перехід 110/124 – 1шт., перехід гумовий, коліно 110/45 – 1шт.).  (техпідвал 4 під.) – ремонт та заміна частки лежаку каналізації ПВХ110 – 1 м.п. (коліно Ду110/45 – 2 шт., глушка Ду110 – 1 шт.).  Встановлення замків  (1,2 під. півал) - 2 шт.   (1,4 під) – виготовлення та встановлення люків входу в техпідвал за допомогою електрозварювання включаючи (лист 2*1, кутник 35*35 – 18 м.п.).  Ремонт гойдалки, встановлення дер.планок.  Ремонт гойдалки в РБД, транспортування  та встановлення гойдалки на дитячому майданчику. Фарбування урн – 1 шт.  Фарбування лав для відпочинку – 3 шт. Фарбування стойок на білизняних майданчиках.  (2 під.) – ремонт сходів сходових маршів в під’їзді, обрамлення кутовою сталлю, цементне стягування.   (техпідвал 2 під.) – свердлення отворів в бетонній підлозі.     (4 під.) – виготовлення металевої драбини для спуску в техпідвал за допомогою електрозварювання включаючи (труба проф. 40*40 – 9 м.п., арматура – 18 м.п.). (техпідвал 4 під) – виготовлення приямків для дренажу стічних вод в бетоні за допомогою відбійного молотка.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</si>
  <si>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кв.16 - зміна врізки на трубопроводі х/в, заміна сікучого крану Ду20 – 1 шт. за допомогою електрозварювання включаючи (муфта – 1 шт.).  кв.34 – аварійне усунення течі х/в, заміна підводки до бачку унітаза. (техпідвал 3під.) – заміна крану Ду15 – 1 шт. на стояку опалення за допомогою електрозварювання включаючи привариш – 2 шт. Ремонт та гідравлічні випробування системи опалення, заміна вентилів Ду20 – 2 шт., ремонт вентилів на стояках Ду20 – 18 шт., часткова теплоізоляція трубопроводів Ду50 – 10 м.п., Ду20 – 4 м.п. Маркування трубопроводів в тепловому вузлу.  (техпідвал 3 під.) – ремонт та заміна частки лежаку каналізації ПВХ110 – 1 м.п. (коліно Ду110/45 – 2 шт.).  Фарбування урн – 6 шт. Фарбування лав для відпочинку – 6 шт. Фарбування урн – 1 шт. (прибудинкова). Фарбування елементів  дитячого майданчика (прибудинкові): качеля – 1 шт., качалка – 1 шт. Фарбування стойок на білизняних майданчиках. Зафарбовування надписів на фасадах будинків – 2 м².   Зафарбування написів наркотичного змісту на фасадах будинків – 1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</si>
  <si>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"Капітальний ремонт покрівлі, водозливної системи багатоквартирного житлового будинку за адресою: м. Чорноморськ, проспект Миру, 5-А" - 702 732,25 грн. (бюджет). </t>
  </si>
  <si>
    <t xml:space="preserve">Встановлення лічильників для поливу.  (1 під.) – заміна трубопроводу х/в у тепловому вузлу Ду15 – 2.м.п., заміна крану Ду15 – 1.шт., за допомогою електрозварювання.   кв.9 - заміна підводок до радіатору Ду20 – 2 м.п. за допомогою електрозварювання, аварійне усунення течі включаючи (муфта – 2 шт.).  Ремонт та гідравлічні випробування системи опалення: ремонт вентилів на стояках Ду20 – 22 шт., часткова теплоізоляція трубопроводів Ду50 – 6 м.п., Ду20 – 2 м.п. Маркування трубопроводів в тепловому вузлу.   кв.9 – заміна частки стояку ц/о Ду20 – 2 м.п. за допомогою електрозварювання, аварійне усунення течі включаючи (привариш – 2 шт., муфта – 2 шт.).   кв.18 – заміна підводок до радіатору опалення Ду20 – 2 м.п. за допомогою електрозварювання, включаючи (привариш – 2 шт., муфта – 2 шт.).  (2п.) – встановлення кодового замку на вхідні двері (замок мешканців). Благоустрій прибудинкової території: зрізання сухих та підрізання дерев, кущів, порослі, викопування пнів озеленювачем. Фарбування лав для відпочинку – 4 шт. (прибудинкова). Прибирання автошин по альфатерам – 10 штук.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Ремонт обладнання в ВРЩ-0,4 кВ (заміна наконечників та опресування кабелю; заміна утримувачів ПН та ПН-100А).    </t>
  </si>
  <si>
    <t>Поточний ремонт водостічної системи житлового будинку за адресою: м. Чорноморськ, проспект Миру 7 - 85 357,59 грн. (Ду160 - 107 м.п.).</t>
  </si>
  <si>
    <t xml:space="preserve">(2 під.) – установка лічильників для поливу. (тепловий вузол) – розбірка/збірка фланцевого з`єднання Ду50 – 1 шт., коригування шайби, заміна болтів, гайок та гумових прокладок.  кв.24 – заміна підводок до радіатору Ду20 – 3 м.п. за допомогою електрозварювання, аварійне усунення течі включаючи (муфта – 2 шт.).  Ремонт та гідравлічні випробування системи опалення, ремонт вентилів на стояках Ду20 – 22 шт., часткова теплоізоляція трубопроводів Ду50 – 6 м.п., Ду20 – 2 м.п. Маркування трубопроводів в тепловому вузлу. кв.19/23 - заміна стояку опалення Ду20 – 3 м.п. через міжповерхове перекриття за допомогою електрозварювання включаючи (привариш – 2 шт., муфта – 2 шт.).  кв.19 - заміна стояку опалення Ду15 – 2 м.п. за допомогою електрозварювання включаючи (привариш – 2 шт., муфта – 2 шт.).  кв.14 - установка крану Ду15 – 1 шт. на стояку опалення для розповітрення системи за допомогою електрозварювання.  Фарбування урн – 2 шт.  Фарбування лав для відпочинку – 5 шт.  Фарбування стойок на білизняних майданчиках. Зафарбовування надписів на фасадах будинків – 2,5 м²,  (1-2 під.) – встановлення урни во дворі.  Прочищення водозливних труб з даху будинку. прочищення водостічних труб та воронок із застосування спеціалізованного автотранспорту Атовишки.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</si>
  <si>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кв.44/48 – заміна стояку х/в Ду25  – 4 м.п. та заміна крану Ду15 – 1 шт. на стояку за допомогою електрозварювання включаючи (привариш – 2 шт., відвід – 2 шт.).  кв.31/35 - аварійне усунення течі х/в, заміна підводки до унітазу.  кв.13 – заміна підводки бачка унітазу, аварійне усунення течі х/в.  кв.27 - аварійне усунення течі х/в, зміна врізки на стояку за допомогою електрозварювання.  (техпідвал 1під.) – заміна стояку ц/о Ду16 – 4 м.п. та заміна крану Ду15 – 1 шт. на стояку ц/о за допомогою електрозварювання включаючи (привариш – 2 шт.). Ремонт та гідравлічні випробування системи опалення, ремонт вентилів на стояках Ду20 – 18 шт., часткова теплоізоляція трубопроводів Ду50 – 12 м.п., Ду20 – 8 м.п. Маркування трубопроводів в тепловому вузлу.  кв.38 – заміна підводок до радіатору опалення Ду15 – 2 м.п. за допомогою електрозварювання включаючи (привариш – 2 шт., муфта – 2 шт.).  кв.44/48 - заміна каналізаційного стояку ЧК100 на ПХВ110 – 3 м.п. через міжповерхове перекриття включаючи фасоніну (перехід Ду110/124 – 1 шт., перехід гумовий Ду110/124 – 1 шт., компенсатор Ду110 – 1 шт., відвід Ду110/45 – 2 шт., трійник Ду110/45 – 2 шт., кріплення – 4 шт.).  Встановлення замків (підвал) - 1 шт.   Благоустрій прибудинкових територій (зрізання сухих та підрізання дерев, кущів, порослі  озеленювачем). Фарбування лав для відпочинку – 6 шт. Фарбування урн – 2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</si>
  <si>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Встановлення лічильників для поливу. Ремонт та гідравлічні випробування системи опалення: ремонт вентилів на стояках Ду20 – 12 шт., часткова теплоізоляція трубопроводів Ду50 – 4 м.п., Ду20 – 2 м.п. Маркування трубопроводів в тепловому вузлу. Благоустрій: демонтаж металевих залишків (арматура та т.п.).  Фарбування лав для відпочинку – 4 шт.  Фарбування елементів дитячих майданчиків (прибудинкові): (карусель – 1 шт., качалка – 2 шт., качеля – 1 шт., стінка велика – 1 шт.).  Фарбування стойок на білизняному майданчику.   (Укриття) – закладання вікон OSB – 1,5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Відновлення живлення в укритті. </t>
  </si>
  <si>
    <t xml:space="preserve">Ремонт та гідравлічні випробування системи опалення: заміна вентилів Ду20 – 2 шт., ремонт вентилів на стояках Ду20 – 24 шт., часткова теплоізоляція трубопроводів Ду50 – 6 м.п., Ду20 – 4 м.п. Маркування трубопроводів в тепловому вузлу.  кв.19 - заміна стояку опалення Ду32 – 2 м.п. за допомогою електрозварювання, включаючи (привариш – 1 шт., муфта – 2 шт.). (горище) – установка футорок ¾ * ½ - 4 шт. на вантузах опалення.  кв.5 – заміна частки трубопроводу опалення (підведення до радіатору) Ду20 – 0,5 м.п.  кв.13 - заміна частки каналізаційного стояку ЧК100 на ПХВ110 – 3 м.п. через міжповерхове перекриття включаючи фасоніну (перехід Ду110/124 – 1 шт., перехід гумовий Ду110/124 – 1 шт., компенсатор Ду110 – 1 шт., відвід Ду110/45 – 2 шт., трійник Ду110/45 – 2 шт., кріплення – 2 шт.).  (техпідвал 1 під.) - заміна каналізаційного лежаку ЧК100 на труби ПВХ110 – 6 м.п. включаючи фасоніну ( перехід Ду110/124 – 1 шт., перехід гумовий Ду110/124 – 1 шт., компенсатор Ду110 – 1шт., відвід Ду110/90 – 2 шт.).   Поточний ремонт покрівлі: кв.29 – 10 кв.м.,  кв.32, 2п.-л/кл – 2 кв.м.  (2 під.) – ремонт дверей входу в техпідвал за допомогою електрозварювання (заміна навісів – 2 шт.).  (1 під.) – ремонт дверей входу до під’їзду, електрозварювальні роботи.  Фарбування урн (прибудинкова) – 1 шт.  Фарбування стойок на білизняному майданчику.  Ремонт оголовку вентиляційного N47 ремонт примикання після заміни фанового трубопроводу в кв.13.   (1 під.) – між 1 та 2 поверхами закладання отвору 0,35х2,20, штукатурка – 2 кв.м. (після заміни трубопроводу водовідведення).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</si>
  <si>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(2 під.) – установка лічильників для поливу. Ремонт та гідравлічні випробування системи опалення: ремонт вентилів на стояках Ду20 – 24 шт., часткова теплоізоляція трубопроводів Ду50 – 6 м.п., Ду20 – 2 м.п. Маркування трубопроводів в тепловому вузлу.   (2 під.) – ремонт дверей входу до під’їзду, закріплення. Благоустрій: зрізання сухих та підрізання дерев, кущів, порослі озеленювачем.  Фарбування лав для відпочинку – 3 шт. (прибудинкова).   Ремонт лав для відпочинку – 1 шт., заміна планок – 2 шт. (прибудинкова). Встановлення урн - 1 шт. Фарбування кришки люку вентиляційного отвору в підвал.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</si>
  <si>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 "Капітальний ремонт житлового будинку (заміна вікон) за адресою: м.Чорноморськ, вул. Корабельна, 6-А" - 94 215,48 грн. (бюджет).     </t>
  </si>
  <si>
    <t xml:space="preserve">(1 під.) – установка лічильника для поливу.   Ремонт та гідравлічні випробування системи опалення: ремонт вентилів на стояках Ду20 – 24 шт., часткова теплоізоляція трубопроводів Ду50 – 10 м.п., Ду20 – 4 м.п. Маркування трубопроводів в тепловому вузлу.  Благоустрій прибудинкової території: демонтаж дерев`яного паркану, демонтаж металевих стовпів від паркану, підрізання дерев, зрізання та розпил сухостою, кущів, порослі  озеленювачем.   Фарбування лав для відпочинку – 7 шт. (прибудинкова).  Фарбування стойок на білизняному майданчику.    (2 під.) – ремонт, установка та фарбування урни для сміття – 1 шт. за допомогою електрозварювання.  (1 під.) – скління вікон – 2 шт. на сходовому марші – 0,6 кв.м. з використанням автовишки.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</si>
  <si>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кв.5 – зміна врізки на трубопроводі х/в за допомогою електрозварювання, включаючи (привариш – 1 шт., муфта – 1 шт.).  Ремонт та гідравлічні випробування системи ц/о, ремонт вентилів на стояках Ду20 – 18 шт., часткова теплоізоляція трубопроводів Ду50 – 4 м.п., Ду20 – 2 м.п. Маркування трубопроводів в тепловому вузлу.  кв.13 - заміна стояку каналізації ЧК100 на ПХВ110 – 2,5 м.п. включаючи фасоніну (перехід Ду110/124 – 1 шт., перехід гумовий – 1 шт., коліно Ду110/45 – 2 шт., трійник Ду110/45 – 1 шт., кріплення – 2шт.).  Поточний ремонт покрівлі: встановлення мет.звісу на парапет – 0,25х2 м.п., штукатурка парапету, вирубання примикання к вентиляційним каналам – 10 м.п.  Фарбування лав для відпочинку – 2 шт. (прибудинкова).    Фарбування урн (прибудинкова) – 2 шт.  Фарбування стойок на білизняному майданчику.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</si>
  <si>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"Поточний ремонт, заміна випуску госпфекальної каналізації за адресою:м. Чорноморськ, вул. Корабельна, 9 (1п)" Ду110 - 9 м.п. (39 504,6 грн.).</t>
  </si>
  <si>
    <t>кв.32 – заміна частини стояку х/в Ду25 – 1,5 м.п. за допомогою електрозварювання включаючи (привариш – 1 шт., відвід – 2 шт.), аварійне усунення течі.  кв.12 – зміна врізки на стояку х/в, заміна сікучого крану Ду15 – 1 шт. за допомогою електрозварювання включаючи (муфта – 1 шт.), аварійне усунення течі.   кв.29 - зміна врізки на трубопроводі х/в, заміна сікучого крану Ду15 – 1 шт. за допомогою електрозварювання, аварійне усунення течі.   кв.31 - зміна врізки та заміна крану Ду15 – 1 шт.  на трубопроводі х/в за допомогою електрозварювання включаючи (привариш – 1 шт.), аварійне усунення течі.   (техпідвал 1 під.) – заміна лежаку водопостачання Ду40 – 12 м.п., Ду32 – 6 м.п. за допомогою електрозварювання, включаючи (привариш – 2 шт., кран Ду15 – 3 шт., кран Ду25 – 3 шт., кран Ду40 – 1 шт., муфта Ду40 – 3 шт., муфта Ду1¼ - 40 – 4 шт., муфта Ду40 - 1¼  – 1 шт., муфта Ду1“ – 32 – 8 шт., трійник Ду40/32/40 – 3 шт., трійник Ду32/½ /32 – 2 шт., куточок Ду40/90 – 5 шт., куточок Ду32/90 – 4 шт., хомут 40 – 1 шт., фум, пакля).  кв.23 – зміна врізки на трубопроводі х/в, заміна крану Ду20 – 1 шт. за допомогою електрозварювання, включаючи (привариш – 1 шт., муфта – 1 шт.).  Ремонт та гідравлічні випробування системи ц/о, ремонт вентилів на стояках Ду20 – 18 шт., часткова теплоізоляція трубопроводів Ду50 – 5 м.п., Ду20 – 3 м.п. Маркування трубопроводів в тепловому вузлу.  Благоустрій: зрізання сухих та підрізання дерев, кущів, порослі озеленювачем.  Цементне стягування навколо люку на прибудинковій території. Фарбування лав для відпочинку – 1 шт. (прибудинкова).  Фарбування стойок на білизняному майданчику.  Встановлення урн - 1шт.  (1 під.) – ремонт сходів на сходових маршах, обрамлення сходів – 30 шт. кутовою сталлю 50х50 – 36 м.п., арматура – 3 м.п., цементне стягування.   (1 під.) – ремонт сходів ганку входу до під’їзду, обрамлення сходів кутовою сталлю, уголок 50х50 – 9 м.п., електрозварювальні роботи., встановлення опалубки, цементне стягування.  (1п.) – ремонт фасаду - 12 кв.м. із застосуванням спеціалізованого автотранспорту Автовишки (КП «Зеленгосп»). (1 під.) – улаштування пандусу на ганку входу до під’їзду – 2 кв.м., виготовлення та встановлення поручню на ганку входу до під’їзду, труба Ду25 – 6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</si>
  <si>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кв.6 – зміна врізки на трубопроводі х/в, заміна крану Ду15 – 1 шт. за допомогою електрозварювання, включаючи (привариш – 1 шт., муфта – 1 шт.). кв.6 – зміна врізки на трубопроводі х/в, заміна крану Ду15 – 1 шт. за допомогою електрозварювання, включаючи (привариш – 1 шт., муфта – 1 шт.). Зафарбовування надписів на фасадах будинків Корабельна 2,2а – 2,7 м²,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</si>
  <si>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кв.38 – заміна сікучого крану Ду25 – 1 шт. на стояку водопостачання.   (тепловий вузол) – розбірка/збірка засувки ц/о Ду50 – 1 шт., заміна набивки сальнику.  Ремонт та гідравлічні випробування системи ц/о, ремонт вентилів на стояках Ду20 – 16 шт., часткова теплоізоляція трубопроводів Ду50 – 4 м.п., Ду20 – 3 м.п. Маркування трубопроводів в тепловому вузлу.  Фарбування урн – 3 шт. (прибудинкова). Фарбування лав для відпочинку – 3 шт. (прибудинкова).    Фарбування стойок на білизняному майданчику.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</si>
  <si>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Встановлення лічильників для поливу.  кв.15 - заміна підводок до радіатору опалення Ду20 – 2 м.п. за допомогою електрозварювання включаючи (привариш – 2 шт., муфта – 2 шт.).   ремонт та гідравлічні випробування системи ц/о, ремонт вентилів на стояках Ду20 – 24 шт., часткова теплоізоляція трубопроводів Ду50 – 4 м.п., Ду20 – 2 м.п. Маркування трубопроводів в тепловому вузлу.  (2п.) – ремонт вхідних дверей за допомогою електрозварювання включаючи (петлі - 2 шт.).  Благоустрій прибудинковій території: демонтаж дерев`яного паркану, демонтаж металевих стовпів від паркану, підрізання дерев, кущів, порослі  озеленювачем.   Демонтаж металевих залишків (арматура та т.п.). Фарбування лав для відпочинку – 4 шт. (прибудинкова). Фарбування урн – 1 шт. (прибудинкова).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</si>
  <si>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кв.55 - заміна частки стояку водопостачання Ду32 – 2 м.п. за допомогою електрозварювання включаючи (привариш – 2 шт., муфта – 2 шт.).  кв.7 - зміна врізки на трубопроводі х/в за допомогою електрозварювання, заміна крану Ду20 – 1 шт., аварійне усунення течі.  кв.19 - заміна стояку водопостачання Ду32 – 2 м.п. за допомогою електрозварювання, включаючи (привариш – 2 шт., муфта – 2 шт.).  кв.57/59 -  заміна стояку опалення Ду20 – 2 м.п. за допомогою електрозварювання, включаючи (привариш – 2 шт., коліно 20/45 – 4 шт.).   кв.43/47/51 -  заміна стояку ц/о Ду20  – 5 м.п. через міжповерхове перекриття за допомогою електрозварювання включаючи (привариш – 2 шт., коліно Ду20/45 – 4 шт.). Ремонт та гідравлічні випробування системи ц/о, заміна вентилів на стояках Ду15 – 2 шт., ремонт вентилів на стояках Ду20 – 24 шт., часткова теплоізоляція трубопроводів Ду50 – 3 м.п., Ду20 – 2 м.п. Маркування трубопроводів в тепловому вузлу. кв.74 – заміна частки трубопроводу опалення (підведення до радіатору) Ду20 – 0,5 м.п.   кв.19 - заміна стояку каналізації ЧК100 на ПХВ110 – 2,5 м.п. включаючи фасоніну (перехід Ду110/124 – 1 шт., перехід гумовий – 1 шт., коліно Ду110/45 – 2 шт., компенсатор – 1 шт., хрестовина Ду110/45 – 1 шт., ревізія Ду110 – 1 шт., кріплення – 2 шт.). Демонтаж металевих залишків (арматура та т.п.).  Фарбування урн – 2 шт. (місто).   Фарбування лав для відпочинку – 6 шт. (прибудинкова).  Фарбування елементів дитячих майданчиків (прибудинкові): (карусель – 1 шт., качеля – 1 шт., гірка – 1 шт., турнік – 2 шт., стінка – 1 шт. Зафарбування написів наркотичного змісту на фасадах будинків – 2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</si>
  <si>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кв.27 - заміна частки стояку х/в Ду32 – 2 м.п., заміна сікучого крану Ду20 – 1 шт. за допомогою електрозварювання включаючи (привариш – 2 шт., муфта – 2 шт., коліно – 4 шт.) аварійне усунення течі.  (техпідвал 3під) - заміна частки трубопроводу х/в Ду20 – 1 м.п. за допомогою електрозварювання, аварійне усунення течі.   Встановлення лічильників для поливу. кв.50 - зміна врізки на стояку х/в, за допомогою електрозварювання, аварійне усунення течі.  кв.61 – заміна підводки до унітазу, аварійне усунення течі. (4 під.) – ремонт поливального трубопроводу, заміна крану Ду15 – 1 шт. та трубопроводу Ду15 – 2 м.п. (вандалізм).    Ремонт та гідравлічні випробування системи ц/о, ремонт вентилів на стояках Ду20 – 24 шт., часткова теплоізоляція трубопроводів Ду50 – 14 м.п., Ду20 – 6 м.п. Маркування трубопроводів в тепловому вузлу.  кв.35 - заміна стояку ц/о Ду32 – 2 м.п. за допомогою електрозварювання, включаючи (привариш – 2 шт., муфта – 2 шт.).   кв.4 - заміна стояку каналізації ЧК100 на ПХВ110 – 1,5 м.п. включаючи фасоніну (перехід 110/124 – 1 шт., перехід гумовий, муфта – 1 шт.). Поточний ремонт покрівлі: кв.35 – 3 кв.м.  Благоустрій прибудинкових територій (зрізання сухих та підрізання дерев, кущів, порослі  озеленювачем). Демонтаж металевих залишків (арматура та т.п.). Фарбування лав для відпочинку – 7 шт. Фарбування елементів дитячих майданчиків (прибудинкові): (карусель – 1 шт., качеля – 2 шт.),    Фарбування стойок на білизняному майданчику.  Усунення аварії: прокладання проводу від ВРЩ-0,4 кВ до поверхового щитка 1 поверху (1 під'їзду); використано матеріалу (проводу АПВ 1*16 - 60 м.п.; автоматичні вимикачі 16А – 3 шт.; гільзи 16 мм2 - 8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</si>
  <si>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опалення: ремонт вентилів на стояках Ду20 – 12 шт., часткова теплоізоляція трубопроводів Ду50 – 6 м.п., Ду20 – 4 м.п. Маркування трубопроводів в тепловому вузлу.  Поточний ремонт покрівлі: (1 під.) – 4 кв.м. (шифер) з використанням автовишки.  (2 під) – ремонт вхідних дверей за допомогою електрозварювання.  Фарбування лав для відпочинку – 2 шт. (прибудинкова).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</si>
  <si>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опалення: ремонт вентилів на стояках Ду20 – 12 шт., часткова теплоізоляція трубопроводів Ду50 – 8 м.п., Ду20 – 6 м.п. Маркування трубопроводів в тепловому вузлу.  Поточний ремонт покрівлі:кв.7 – ремонт примикання до димоходу – 1 кв.м. (шифер) з використанням автовишки.  (2 під.) – ремонт вхідних дверей в під`їзд за допомогою електрозварювання (заміна петель).  Благоустрій прибудинкової території: зрізання сухих та підрізання дерев, кущів, порослі  озеленювачем. Фарбування лав для відпочинку – 3 шт. (прибудинкова).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</si>
  <si>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опалення, ремонт вентилів на стояках Ду20 – 16 шт., часткова теплоізоляція трубопроводів Ду50 – 6 м.п., Ду20 – 3 м.п. Маркування трубопроводів в тепловому вузлу. Фарбування лав для відпочинку – 2 шт. (прибудинкова).   Фарбування стойок на білизняному майданчику.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</si>
  <si>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Поточний ремонт, заміна безтраншейним способом випуску госпфекальної каналізації за адресою: м. Чорноморськ, вул.Данченка, 15 (1 підїзд) Ду110 – 7 м.п.  (30 847,7 грн.). </t>
  </si>
  <si>
    <t xml:space="preserve">кв.94 - зміна врізки на трубопроводі х/в, заміна сікучого крану Ду25 – 1 шт. за допомогою електрозварювання включаючи (муфта – 1 шт.).  кв.115 - зміна врізки на трубопроводі х/в, заміна сікучого крану Ду20 – 1 шт. за допомогою електрозварювання включаючи (привариш – 1 шт., муфта – 1 шт.). кв.165 - заміна підводки до унітазу за допомогою електрозварювання, аварійне усунення течі.   кв.33 - заміна частки стояку х/в Ду20 – 2 м.п. за допомогою електрозварювання включаючи (привариш – 1 шт., муфта – 1 шт.).   кв.25 - заміна крану на стояку х/в Ду15 – 1шт., аварійне усунення течі.  Ремонт та гідравлічні випробування системи ц/о, ремонт вентилів на стояках Ду20 – 24 шт., часткова теплоізоляція трубопроводів Ду50 – 6 м.п., Ду20 – 4 м.п. Маркування трубопроводів в тепловому вузлу.  кв.105 - заміна стояку каналізації ЧК50 на ПХВ50 – 2 м.п. включаючи фасоніну (перехід Ду50/72 – 1 шт., перехід гумовий – 1 шт., відвід Ду50/45 – 2 шт., відвід Ду50/90 – 2 шт., трійник Ду50/45 – 1 шт., компенсатор – 1 шт., муфта – 1 шт.).  Поточний ремонт, заміна безтраншейним способом випуску госпфекальної каналізації за адресою: м. Чорноморськ, вул.Данченка, 15 (1 підїзд) Ду110 – 7 м.п.  (30 847,7 грн.).  кв.93 - заміна стояку каналізації ЧК50 на ПХВ50 – 2,5 м.п. включаючи фасоніну (перехід Ду50/75 – 1 шт., перехід гумовий – 1 шт., коліно Ду50/45 – 2 шт., компенсатор – 1 шт., кріплення – 2 шт.).  кв.92 - заміна стояку каналізації ЧК50 на ПХВ50 – 2,5 м.п. включаючи фасоніну (перехід Ду50/75 – 1 шт., перехід гумовий – 1 шт., коліно Ду50/45 – 2 шт., компенсатор – 1 шт., кріплення – 2 шт.).  кв.85 - заміна стояку каналізації ЧК50 на ПХВ50 – 2 м.п. включаючи фасоніну (перехід Ду50/75 – 1 шт., перехід гумовий – 1 шт., коліно Ду50/45 – 2 шт., трійник Ду50– 1 шт., кріплення – 2 шт.). Поточний ремонт покрівлі: кв.160-165 – 2 кв.м. Викопування та прибирання автошин з прибудинкової території.  Фарбування урн – 2 шт. (прибудинкова).   Фарбування лав для відпочинку – 3 шт. (прибудинкова). демонтаж металевих стовпчиків – 8 шт. Ремонт оголовку вентиляційного каналу на даху будинку, цегляна кладка, встановлення покрівельного заліза – 1,5х0,5.  (за будинком) – ремонт водосточних труб – 1 м.п.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</si>
  <si>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ремонт вентилів на стояках Ду20 – 12 шт., часткова теплоізоляція трубопроводів Ду50 – 4 м.п., Ду20 – 2 м.п. Маркування трубопроводів в тепловому вузлу.  Фарбування лав для відпочинку – 3 шт. (прибудинкова).    Прибирання автошин по альтфатерам.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</si>
  <si>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ремонт вентилів на стояках Ду20 – 18 шт., часткова теплоізоляція трубопроводів Ду50 – 8 м.п., Ду20 – 4 м.п. Маркування трубопроводів в тепловому вузлу. (горище 1 під.) – заміна крану Ду20 – 1 шт. на стояку опалення.  (горище 2 під.) – заміна крану Ду25 – 1 шт. на стояку опалення за допомогою електрозварювання, включаючи (привариш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</si>
  <si>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ремонт вентилів на стояках Ду20 – 18 шт., часткова теплоізоляція трубопроводів Ду50 – 4 м.п., Ду20 – 2 м.п. Маркування трубопроводів в тепловому вузлу. Благоустрій: зрізання сухих та підрізання дерев, кущів, порослі, викопування пнів озеленювачем. Фарбування урн – 1 шт. Фарбування лав для відпочинку – 3 шт. (прибудинкова). Фарбування стойок на білизняних майданчиках. Фарбування елементів дитячих майданчиків (прибудинкові): (качеля – 1 шт., качалка- 1 шт.),  </t>
  </si>
  <si>
    <t xml:space="preserve">Ремонт та гідравлічні випробування системи ц/о, ремонт вентилів на стояках Ду20 – 18шт., часткова теплоізоляція трубопроводів Ду50 – 4м.п., Ду20 – 2м.п. Маркування трубопроводів в тепловому вузлу. Благоустрій: зрізання сухих та підрізання дерев, кущів, порослі, викопування пнів озеленювачем. Ремонт лав – 1 шт., заміна планок на лавах для відпочинку (прибудинкова) – 1 шт.   Фарбування лав для відпочинку (прибудинкова) – 2 шт.   Демонтаж 2-х лав для відпочинку по письменному зверненню мешканців ж/будинку.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</si>
  <si>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ремонт вентилів на стояках Ду20 – 18шт., часткова теплоізоляція трубопроводів Ду50 – 5м.п., Ду20 – 3м.п. Маркування трубопроводів в тепловому вузлу. (2 під) - заміна частки лежаку ц/о Ду50 (обратка) – 1 м.п. за допомогою електрозварювання, включаючи (привариш – 1 шт., коліно Ду40 – 2 шт.).  Поточний ремонт покрівлі: (1 під.) шифер – 2 кв.м. з використанням автовишки.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</si>
  <si>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ремонт вентилів на стояках Ду20 – 24 шт., часткова теплоізоляція трубопроводів Ду50 – 5 м.п., Ду20 – 3 м.п. Маркування трубопроводів в тепловому вузлу. кв.32 - заміна стояку каналізації ЧК100 на ПХВ110 – 2 м.п. включаючи фасоніну (перехід Ду110/124 – 1 шт., перехід гумовий Ду110/124 – 1шт., відвід Ду110/45 – 2 шт., трійник Ду110/45 – 1 шт., компенсатор – 1 шт.). Фарбування урн – 3 шт. (прибудинкова).  Фарбування лав для відпочинку – 2 шт. (прибудинкова). Фарбування стойок на білизняних майданчиках. Фарбування елементів дитячих майданчиків (прибудинкові): (гірка – 1 шт., качель – 1 шт.).  Зафарбування написів наркотичного змісту на фасадах будинків – 1 кв.м.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</si>
  <si>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Встановлення лічильників для поливу.  кв.25 - заміна стояку водопостачання Ду25 – 2 м.п. за допомогою електрозварювання, включаючи (привариш – 1 шт., муфта – 2 шт.), заміна крану Ду25 – 1 шт.  Ремонт системи ц/о, заміна засувок Ду50 – 2 шт. (подача та обратка), заміна болтів, гайок та гумових прокладок в тепловому вузлу.  Ремонт та гідравлічні випробування системи ц/о, ремонт вентилів на стояках Ду20 – 24 шт., часткова теплоізоляція трубопроводів Ду50 – 4 м.п., Ду20 – 2 м.п. Маркування трубопроводів в тепловому вузлу.  Фарбування лав для відпочинку – 2 шт. (прибудинкова).  Фарбування стойок на білизняному майданчику.   Демонтаж металевих конструкцій.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</si>
  <si>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кв.9 – перепаковка вентилів на стояку ц/о (рушникосушарка), аварійне усунення течі.  Ремонт та гідравлічні випробування системи ц/о, ремонт вентилів на стояках Ду20 – 12 шт., часткова теплоізоляція трубопроводів Ду50 – 3 м.п., Ду20 – 1 м.п. Маркування трубопроводів в тепловому вузлу., заміна вхідної засувки Ду50 – 1 шт. на трубопроводі подачі ц/о включаючи заміну болтів, гайок та гумових прокладок.  (техпідвал 1 під.) – ремонт з заміною частки лежаку каналізації ПХВ110 – 1,5 м.п. включаючи фасоніну (муфта Ду110 – 1 шт., компенсатор – 1шт., відвід Ду110/45 – 2 шт.). Викопування та прибирання автошин з прибудинкової території.  Фарбування лав для відпочинку – 1 шт. (прибудинкова). Фарбування стойок на білизняному майданчику.  Демонтаж металевих конструкцій.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</si>
  <si>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"Поточний ремонт, безтраншейним способом випуску госпфекальної каналізації за адресою: м. Чорноморськ, вул. Хантадзе, 2 (10п)" Ду110 – 7 м.п. (43603,01 грн.).     </t>
  </si>
  <si>
    <t>(6,9 під.) – встановлення лічильників для поливу.  кв.11/14 – заміна стояку водопостачання Ду25 – 6 м.п. через перекриття, заміна крану Ду15 – 1 шт. за допомогою електрозварювання, включаючи (привариш – 2 шт., муфта – 2 шт.). кв.8 - зміна врізки на трубопроводі х/в за допомогою електрозварювання включаючи (привариш – 1 шт.), аварійне усунення течі.  кв.32 - зміна врізки на стояку водопостачання, заміна крану Ду20 – 1 шт., аварійне усунення течі х/в. кв.43 - зміна врізки на стояку х/в за допомогою електрозварювання, аварійне усунення течі. кв.11 – заміна підводок до радіатору Ду20 – 3 м.п. за допомогою електрозварювання, аварійне усунення течі включаючи (муфта – 2 шт.).  Ремонт та гідравлічні випробування системи опалення: ремонт вентилів на стояках Ду20 – 38 шт., часткова теплоізоляція трубопроводів Ду50 – 8 м.п., Ду20 – 6 м.п. Маркування трубопроводів в тепловому вузлу. кв.27 – заміна стояку опалення Ду25 – 2 м.п. за допомогою електрозварювання, включаючи (привариш – 2 шт., муфта – 1 шт.). Поточний ремонт покрівлі – 4 кв.м. кв.4 (шифер) – 2 кв.м.  Встановлення замків (6 під., горище) – 1 шт.  Благоустрій: зрізання сухих та підрізання дерев, кущів, порослі, викопування пнів озеленювачем. Фарбування лав для відпочинку – 2 шт. (прибудинкова).   Скління слухових вікон на горище – 0,7 кв.м.  Закриття слухових вікон на горище плівкою (круглі вікна).    ТО обслуговування ВРЩ-0,4кВ заміна автоматичного вимикача 3Р на під’їзд;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</si>
  <si>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(2 під) – усунення течі на стояку х/в за допомогою електрозварювання, зміна врізки.  Ремонт та гідравлічні випробування системи ц/о, заміна вентилів на вантузах Ду15 – 2 шт., ремонт вентилів на стояках Ду20 – 18 шт., часткова теплоізоляція трубопроводів Ду50 – 7 м.п., Ду20 – 3 м.п. Маркування трубопроводів в тепловому вузлу.  Благоустрій: зрізання сухих та підрізання дерев, кущів, порослі, викопування пнів озеленювачем. Фарбування лав для відпочинку – 7 шт. (прибудинкова). Демонтаж металевих залишків (арматура та т.п.).   Фарбування елементів  дитячого майданчика (прибудинкові): качель – 1 шт.  Фарбування стойок на білизняних майданчиках.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</si>
  <si>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Встановлення лічильників для поливу. Ремонт та гідравлічні випробування системи ц/о, ремонт вентилів на стояках Ду20 – 18 шт., часткова теплоізоляція трубопроводів Ду50 – 6 м.п., Ду20 – 2 м.п. Маркування трубопроводів в тепловому вузлу.  Фарбування лав для відпочинку – 9 шт. (прибудинкова).  Фарбування урн – 5 шт. (прибудинкова).  Фарбування елементів  дитячого майданчика (прибудинкові): велика гірка – 1 шт., качель – 1 шт. Фарбування стойок на білизняному майданчику.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</si>
  <si>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 "Поточний ремонт, безтраншейним способом випуску госпфекальної каналізації за адресою: м. Чорноморськ, вул. Праці, 3 (2п)"Ду110 – 7 м.п. (37426,91 грн.).</t>
  </si>
  <si>
    <t>кв.39 – зміна врізки на стояку х/в за допомогою електрозварювання включаючи (перехід Ду25/20 – 1 шт., муфта – 1 шт.), заміна крану Ду15 – 1 шт., аварійне усунення течі.  (3 під.) – установка лічильника для поливу.  кв.18 – зміна врізки на трубопроводі х/в за допомогою електрозварювання, аварійне усунення течі. кв.18 – зміна врізки та заміна крану Ду15 – 1 шт.  на трубопроводі х/в за допомогою електрозварювання включаючи (привариш – 1 шт.), аварійне усунення течі х/в.  кв.26 – зміна врізки та заміна крану Ду15 – 1 шт. на трубопроводі х/в за допомогою електрозварювання, аварійне усунення течі.   Ремонт та гідравлічні випробування системи ц/о, ремонт вентилів на стояках Ду20 – 22 шт., часткова теплоізоляція трубопроводів Ду50 – 4 м.п., Ду20 – 2 м.п. Маркування трубопроводів в тепловому вузлу.  кв.19 - заміна частки стояку опалення Ду25 – 1,5 м.п. за допомогою електрозварювання, включаючи (привариш – 2 шт., муфта – 1 шт.), аварійне усунення течі. Ремонт лав для відпочинку – 4 шт., заміна планок – 6 шт. (прибудинкова).   Фарбування урн – 2 шт. (прибудинкова).   Фарбування елементів дитячих майданчиків (прибудинкові): (качеля – 1 шт., качалка – 1 шт., гірка – 2 шт.), Фарбування стойок на білизняному майданчику.   Зафарбовування надписів на фасадах будинків - 2,8 м².   кв.38 – скління – 0,9 кв.м. (120х61,5) на балконі (наслідок прильоту).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</si>
  <si>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кв.2 - заміна частки лежаку водопостачання Ду32 – 12 м.п. за допомогою електрозварювання, включаючи (привариш – 1 шт., муфта Ду32 – 5 шт., МРН 32/1" – 1 шт., коліно Ду32 – 4 шт., перехід Ду40/32 – 1 шт., муфта Ду40 – 1 шт.), аварійне усунення течі. Ремонт системи ц/о, заміна засувки Ду50 – 1 шт. (подача), заміна болтів, гайок та гумових прокладок в тепловому вузлу. ремонт та гідравлічні випробування системи ц/о, ремонт вентилів на стояках Ду20 – 20шт., часткова теплоізоляція трубопроводів Ду50 – 4м.п., Ду20 – 3м.п. Маркування трубопроводів в тепловому вузлу. (2 під) - виготовлення та встановлення дверей входу в підвал за допомогою електрозварювання включаючи (лист 2*1, кутник 35*35 – 18м.п.). Демонтаж будок для собак та прибирання території після демонтажу.  (1 під.) – ремонт підлоги після заміни трубопроводу водопостачання, дошки – 2,5 кв.м., OSB – 3,5 кв.м., плінтуси.  (1 під.) – закладання щілин навколо вхідних дверей у під'їзд.  </t>
  </si>
  <si>
    <t xml:space="preserve">Ремонт та гідравлічне випробування системи опалення:  ремонт засувок зі зміною ущільнюючої резини, заміна сальникової набивки на вентилях, закріплення теплоізоляції по підвалу на трубах опалення. Фарбування урн – 1 шт. Фарбування стойок на білизняному майданчику. Ремонт тротуарної доріжки.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</si>
  <si>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(2 під.) – установка ремкомплекту Ду40 – 1 шт. на лежаку водопостачання в підвалі.  Ремонт та гідравлічні випробування системи ц/о, ремонт вентилів на стояках Ду20 – 18шт., часткова теплоізоляція трубопроводів Ду50 – 3м.п., Ду20 – 1м.п. Маркування трубопроводів в тепловому вузлу. Фарбування лав для відпочинку – 2 шт. (прибудинкова). Фарбування стойок на білизняних майданчиках.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</si>
  <si>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гідравлічні випробування системи ц/о, заміна засувок Ду50 – 2 шт. (подача та обратка), заміна болтів, гайок та гумових прокладок в тепловому вузлу, ремонт вентилів на стояках Ду20 – 18 шт., часткова теплоізоляція трубопроводів Ду50 – 4 м.п., Ду20 – 2 м.п. Маркування трубопроводів в тепловому вузлу. кв.1 - заміна частки лежаку ц/о Ду32 (обратка) – 4 м.п. за допомогою електрозварювання, включаючи (привариш – 1 шт., кут Ду32*90 – 3шт., кут Ду32*45 – 2 шт., муфта Ду32*1 – 2 шт., муфта Ду25*3/4 – 1 шт., трійник Ду32*25*32 – 2 шт.).  Виготовлення люку на приямок, кутник 45х45 - 10 м.п., лист мет.δ2мм, електрозварювальні роботи. Фарбування лав для відпочинку – 4 шт. (прибудинкова).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</si>
  <si>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Ремонт та гідравлічне випробування системи опалення:  ремонт засувок зі зміною ущільнюючої резини, заміна сальникової набивки на вентилях, закріплення теплоізоляції по підвалу на трубах опалення.    Фарбування урн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</si>
  <si>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Ремонт та гідравлічні випробування системи ц/о, часткова теплоізоляція трубопроводів Ду50 – 2 м.п., Ду20 – 1 м.п.. Маркування трубопроводів в тепловому вузлу.  Заміна частки лежаку опалення Ду50 – 3 м.п. за допомогою електрозварювання, включаючи (привариш – 2 шт., муфта – 2 шт.).  (1 під.) – заміна радіатору опалення, включаючи (радіатор біметал – 10, перехід Ду3/8*1/2 – 2 шт., футорка компл.- 1 шт., кріплення – 3 шт., фум, пакля).  Благоустрій прибудинкової території: зрізання сухих та підрізання дерев, кущів, порослі  озеленювачем.  Фарбування урн – 2 шт.  Висадження 3-х дерев.  ВРБД ремонт 2-х лав для відпочинку (заміна 4-х рейок), фарбування та встановлення лав, встановлення поста охорони (з міського пляжу).   Встановлення колючого дроту – 2,5 бухти, прибирання та вивіз сміття – 1 ковш.  закріплення грат, арматура Д12 – 6 м.п., квадрат 12х12 – 1 м.п., лист металу δ2мм – 1 шт.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</si>
  <si>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(укриття ) – заміна питної води в ємності для води.  Заміна крану Ду15 – 1 шт. на стояку водопостачання.  кв.5 - заміна крану Ду15 – 1шт. на стояку водопостачання.   Заміна води в ємності в укритті. Заміна частки лежаку водопостачання Ду32 – 6 м.п. за допомогою електрозварювання, включаючи (привариш – 1 шт., відвід Ду32 – 5 шт., кран Ду32 – 1 шт., кран Ду15 – 1 шт., муфта Ду32 – 2 шт., муфта Ду25 – 2 шт., кут Ду32 – 2 шт., перехід Ду32*25 – 1 шт., фум, пакля). Ремонт та гідравлічні випробування системи ц/о, заміна вентилю Ду20 – 1 шт. Маркування трубопроводів в тепловому вузлу.  (елеваторний вузол) - заміна манометрів на системі опалення – 7 шт.   (укриття) – ремонт та заміна частки лежаку каналізації ПХВ110 – 1 м.п. включаючи фасоніну (муфта – 1 шт.).   Ремонт дверей входу в підвал за допомогою електрозварювання.   Фарбування елементів дитячих майданчиків (прибудинкові): (карусель – 1 шт., качалка – 2 шт., качель – 2 шт., гойдалка – 1 шт., пісочниця – 1 шт., гірка – 2 шт.),   фарбування урн (прибудинкова) – 4 шт.  Фарбування лав для відпочинку (прибудинкова) – 10 шт. </t>
  </si>
  <si>
    <t>Проектно-кошторисна документація «Капітальний ремонт: улаштування зовнішньої гідроізоляції цокольного поверху (найпростішого укриття), вимощення, системи дощової каналізації гуртожитку за адресою: Одеський район, Одеська область, м. Чорноморськ, с. Малодолинське, вул. Зелена, 2-Б» - 328 364,3 грн. (бюджет).</t>
  </si>
  <si>
    <t>Ремонт та гідравлічні випробування системи ц/о, заміна вентилів на стояках Ду15 – 2 шт., ремонт вентилів на стояках Ду20 – 18 шт., часткова теплоізоляція трубопроводів Ду50 – 8 м.п., Ду20 – 2 м.п. Маркування трубопроводів в тепловому вузлу.  Поточний ремонт покрівлі: кв.4 (шифер) – закладання зазору біля димоходу (піною).  Благоустрій прибудинкової території: демонтаж дерев`яного паркану, демонтаж металевих стовпів від паркану, підрізання дерев, зрізання та розпил сухостою, кущів, порослі  озеленювачем.  Фарбування лав для відпочинку – 3 шт. (прибудинкова). Фарбування урн (прибудинкова) – 1 шт.  Фарбування стойок на білизняному майданчику.  (1 під.) – ремонт обрамлення слухового вікна на горищі з використанням автовишки Зеленгосп.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t>
  </si>
  <si>
    <t xml:space="preserve">Ремонт та гідравлічні випробування системи опалення, ремонт вентилів на стояках Ду20 – 16 шт., часткова теплоізоляція трубопроводів Ду50 – 8 м.п., Ду20 – 4 м.п. Маркування трубопроводів в тепловому вузлу.  (горище 1 під.) – заміна крану Ду15 – 1 шт. на вантузі опалення.   Фарбування урн – 1 шт. Фарбування лав для відпочинку – 2 шт. (прибудинкова).  Фарбування елементів  дитячого майданчика (прибудинкові): качеля – 3 шт.   Фарбування стойок на білизняному майданчику.  Зафарбовування надписів на фасадах будинків – 2,3 м².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</si>
  <si>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 xml:space="preserve">к.111 - заміна стояку х/в на металопласт Ду16 – 1,5 м.п. за допомогою електрозварювання включаючи (привариш – 1 шт., фітинг – 2 шт.), аварійне усунення течі.   к.104 - заміна частки трубопроводу х/в Ду20 – 1 м.п., заміна крану Ду20 – 1 шт. за допомогою електрозварювання, включаючи (привариш – 1 шт., муфта – 1 шт., коліно – 2 шт.) аварійне усунення течі.  Ремонт та гідравлічні випробування системи опалення, заміна кранів кульових Ду15 – 3 шт., ремонт вентилів на стояках Ду20 – 18 шт., часткова теплоізоляція трубопроводів Ду50 – 10 м.п., Ду20 – 6 м.п. Маркування трубопроводів в тепловому вузлу.  Заміна частки лежаку опалення (обратка) Ду50 – 3 м.п. за допомогою електрозварювання, аварійне усунення течі включаючи (відвід – 4 шт.).   (техпідвал 1 під.) – ремонт та заміна частки лежаку каналізації ПВХ50 – 5 м.п. включаючи фасоніну (коліно Ду50*90 – 1 шт., трійник Ду110*50 – 1 шт.).  (техпідвал 1 під.) - заміна частки лежаку каналізації ПВХ50 – 5 м.п. включаючи фасоніну (коліно Ду50/90 – 1 шт., трійник Ду110/50 – 1 шт.).  (техпідвал 1 під.) – ремонт та заміна частки каналізації ПВХ50 – 1 м.п. (коліно Ду50/45 – 4 шт., трійник – 2 шт.).   (техпідвал 1 під.) – ремонт та заміна частки каналізації ПВХ110 – 0,5 м.п. (трійник Ду110/50/45 – 1 шт., коліно Ду110/90 – 2 шт.).  Поточний ремонт покрівлі: (душова к.509….) – 3 кв.м., ремонт примикання – 5 м.п. (закладання тріщин церезітом).  к.509 – промазування мастикою парапету – 14 м.п., ремонт кровлі парапету  – 16 кв.м.   На першому поверсі виготовлення та встановлення дверей в душову: лист OSB – 1,5 кв.м., навіс – 2 шт., ручка – 2 шт.  Фарбування елементів дитячих майданчиків (прибудинкові):  (качалка – 1 шт., качеля – 1 шт., гірка – 1 шт., грибок – 1 шт.).   Фарбування стойок на білизняному майданчику. На дитячому майданчику ремонт каруселі, електрозварювальні роботи. дитячий майданчик – ремонт каруселі. Зафарбовування надписів на фасадах будинків – 2,9 кв.м.   Зафарбування написів наркотичного змісту на фасадах будинків - 1 кв.м. На першому поверсі ремонт вікна в душової, закладання OSB – 1,5 кв.м.  Виготовлення т та встановлення грат на 2 вікна 1 поверху санвузлу гуртожитку, арматура Д12 – 44 м.п.  Монтаж лічильника на кімнату за зверненням кім.204.  Монтаж лічильника на кімнати за зверненням кім.213,229.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Встановлення лічильника кім. 109А. Складання Актів потужності на кім. 310, 408 сумісно з представниками ЖЕД-1 та ініціативної групи.  Встановлення та опломбування індивідуального вузла обліку ел.ен. на кім. 310. </t>
  </si>
  <si>
    <t xml:space="preserve">(1 під., 3й поверх) - ремонт змішувача, зливного бачка. Встановлення ремкомплектів на трубопроводах г/води: (1під.) Ду50 – 1 шт.   Ремонт та гідравлічне випробування системи опалення: ремонт засувок Ду50 - 5 шт., ремонт кранів Ду20- 16 шт., Ду15 - 3 шт., заміна «заглушок» на збросниках стояків Ду15 - 2 шт., Ду20 – 3 шт., заміна кранів кульових Ду15 - 3 шт., Ду20 - 4 шт.  (1 під., 3пов.) - заміна трубопроводу водовідведення Ду110 - 3,0 м.п., компенсатор Ду110 – 1 шт., перехід Ду1214/110 – 1 шт., кран ПП16х16 – 1 шт.  к.46 - заміна пошкодженого трубопроводу водовідведення Ду110 – 1 м.п., перехід Ду124/110 - 1 шт.  (2 під., з підпілля на технічний поверх, 5 поверхів) – заміна пошкодженого трубопроводу каналізації Ду110 - 20,0 м.п., коліно Ду110х45 - 2 шт., трійник Ду110/110х45 - 8 шт., труба Ду50 - 5,0 м.п., коліно Ду50х45 - 20 шт., трійник Ду50/50х90 – 1 шт., трап Ду50 – 4 шт., трап Ду100 -1 шт., заглушка Ду110 - 1 шт., кріплення д/труб Д110 – 5 шт., кріплення д/труб Д50 - 5 шт. Встановлення замків -  1 шт. Ремонт дверей аварійного виходу 2 під., цементне стягування – 1 кв.м. (від попадання дощової води в під’їзд).  Ремонт лавок прибудинкові – 3 лавки (4 рейки).  Фарбуванні майданчиків для білизни.  Зафарбовування наркотичних написів на фасадах ж/будинків – 1 кв.м., Зафарбування написів наркотичного змісту на фасадах будинків – 0,5 кв.м. Відкриття віконних рам на сходових маршах, підготування для миття вікон.  Гідроізоляція вмивальнь (після заміни каналізаційного стояка з першого по п’ятий поверхи), закриття віконних рам на сходових клітинах (після миття вікон).  (3 під., по кв.38) – закладання отвору на сходовому марші (після заміни каналізаційного трубопроводу).   (2 під.) – заміна частки зливового трубопроводу Ду110 – 1 м.п. в підвалі.   (2 під.) - заміна пошкодженого трубопроводу зливової каналізації Ду110 - 1,0 м.п.    кім. 47 – монтаж індівідуального лічильнику для подальшого розрахунку. кім.41 – обстеження для встановлення лічильників по заяві жильців, встановлення ел. лічильника.  Монтаж лічильника на кімнати за зверненням кім.32,49,49А. Опломбування індівідуального лічильнику  кім. 51. кім.44 – монтаж індивідуального приладу обліку ел.ен.  Монтаж індивідуальних лічильників кім. 44,45. ТО обслуговування ВРЩ-0,4кВ; вимір напруги; розподіл навантаження; ізоляція дротів; ТО в поверхових щитках підтискання болтових з'єднань; вимір напруги; розподіл навантаження; ізоляція дротів. </t>
  </si>
  <si>
    <t>Заміна шлангів до змішувача  в санвузлі 1 поверху Ду15 – 2 шт., клапан Ду15.   кв.313 – заміна ввідного крану Ду20 – 1 шт. на трубопроводі холодного водопостачання в сан вузлі.   кв.609 – заміна ділянки трубопроводу холодного водопостачання Ду20 - 0,5 м.п.  кв.303 – ремонт трубопроводу холодного водопостачання з заміною ввідного крану Ду20 – 1 шт., нарізання різьби.  Заміна трубопроводу водопостачання Ду40 – 1 м.п.Підготовка систем опалення до гідравлічних випробувань. Заміна засувок («Бурака») в елеваторних вузлах Ду50 – 4 шт., кран Ду15 – 2 шт.   Ремонт та гідравлычне випробування системи опалення представникам ЧТЕ. Заміна засувки Ду50 – 2 шт., регулятор батерфляй Ду50 – 2 шт., заміна болтів М14х100 – 8 шт., М14х70 – 10 шт., гайки М14 – 18 шт. Демонтування радіатору на системі опалення, та встановлення перемички труба Ду20 - 1 м.п. (зварні роботи).   (1 під., підвал) – заміна ділянки трубопроводу центрального опалення, труба Ду40 – 1 м.п., зварювальні роботи.  (підвал під кв.126) – встановлення крану Ду15 – 1 шт. на трубопроводі центрального опалення.  Ремонт каналізаційного трубопроводу з частковою заміною, труба Ду110/2000 – 1 шт.  2 під. – заміна каналізаційного трубопроводу по підвалу, труба Ду110 – 2 м.п.  Поточний ремонт покрівлі: (1 під.) – 2 кв.м., вирубання руберойдного килиму, заміна водоприймальної воронки.  (гуртожиток) кубрик к.104-107 – ремонт місць загального користування (ТПР). Встановлення замку на двері входу до підвалу.  В електрощитовій будинку ремонт віконної рами, вставлення скла – 0,5 кв.м.   (кв.103) – закладання отвору в підвал – 0,1 кв.м., встановлення вентиляційної труби Ду110 – 1 м.п., коліна та ковпака на вентиляційному отворі в підвал.  (1 під.) – ремонт трубопроводу зливної каналізації з даху та по тех. поверху. Труба Ду110/1500 – 1 шт., Ду110/1000 – 1 шт., коліно Ду110/45 – 2 шт., муфта Ду110.     Встановлення електричних ламп в місцях загального користування – 4 шт., та вимикача – 2 шт.  Монтаж лічильнику ел.ен. на кубрік кім 518-522 . Монтаж лічильнику ел.ен. на кубрик кім 322-327; 901-907.  Монтаж лічильника на кубрик за зверненням кім. 724.  Монтаж лічильника на кубрик за зверненням кім. 320,118.  Монтаж, опломбування лічильника на кубрик за зверненням кім.620, кім. 903.  Встановлення контрольного лічильника ел.ен. на газифіковану сторону гуртожитка. Встановлення та опломбування приладу обліку на кім. 401-407.  Заміна світильнику ОСК – 1 шт.</t>
  </si>
  <si>
    <t>Пр-т Миру, 19</t>
  </si>
  <si>
    <t>Олександрійська, 9</t>
  </si>
  <si>
    <r>
      <t>витрат на утримання будинку та прибудинкової території</t>
    </r>
    <r>
      <rPr>
        <b/>
        <sz val="11"/>
        <color indexed="8"/>
        <rFont val="Times New Roman"/>
        <family val="1"/>
        <charset val="204"/>
      </rPr>
      <t xml:space="preserve"> по вул.Захисників України,7а</t>
    </r>
  </si>
  <si>
    <r>
      <t>витрат на утримання будинку та прибудинкової території</t>
    </r>
    <r>
      <rPr>
        <b/>
        <sz val="11"/>
        <color indexed="8"/>
        <rFont val="Times New Roman"/>
        <family val="1"/>
        <charset val="204"/>
      </rPr>
      <t xml:space="preserve"> по вул.Захисників України, 13</t>
    </r>
  </si>
  <si>
    <r>
      <t>витрат на утримання будинку та прибудинкової території</t>
    </r>
    <r>
      <rPr>
        <b/>
        <sz val="11"/>
        <color indexed="8"/>
        <rFont val="Times New Roman"/>
        <family val="1"/>
        <charset val="204"/>
      </rPr>
      <t xml:space="preserve"> по вул.Захисників України, 17</t>
    </r>
  </si>
  <si>
    <r>
      <t>витрат на утримання будинку та прибудинкової території</t>
    </r>
    <r>
      <rPr>
        <b/>
        <sz val="11"/>
        <color indexed="8"/>
        <rFont val="Times New Roman"/>
        <family val="1"/>
        <charset val="204"/>
      </rPr>
      <t xml:space="preserve"> по вул.Захисників України, 11</t>
    </r>
  </si>
  <si>
    <r>
      <t>витрат на утримання будинку та прибудинкової території</t>
    </r>
    <r>
      <rPr>
        <b/>
        <sz val="11"/>
        <color indexed="8"/>
        <rFont val="Times New Roman"/>
        <family val="1"/>
        <charset val="204"/>
      </rPr>
      <t xml:space="preserve"> по вул.Захисників України, 10</t>
    </r>
  </si>
  <si>
    <r>
      <t>витрат на утримання будинку та прибудинкової території</t>
    </r>
    <r>
      <rPr>
        <b/>
        <sz val="11"/>
        <color indexed="8"/>
        <rFont val="Times New Roman"/>
        <family val="1"/>
        <charset val="204"/>
      </rPr>
      <t xml:space="preserve"> по вул.Захисників України, 7</t>
    </r>
  </si>
  <si>
    <r>
      <t>витрат на утримання будинку та прибудинкової території</t>
    </r>
    <r>
      <rPr>
        <b/>
        <sz val="11"/>
        <color indexed="8"/>
        <rFont val="Times New Roman"/>
        <family val="1"/>
        <charset val="204"/>
      </rPr>
      <t xml:space="preserve"> по вул.Захисників України, 8</t>
    </r>
  </si>
  <si>
    <r>
      <t>витрат на утримання будинку та прибудинкової території</t>
    </r>
    <r>
      <rPr>
        <b/>
        <sz val="11"/>
        <color indexed="8"/>
        <rFont val="Times New Roman"/>
        <family val="1"/>
        <charset val="204"/>
      </rPr>
      <t xml:space="preserve"> по вул.Захисників України, 2</t>
    </r>
  </si>
  <si>
    <r>
      <t>витрат на утримання будинку та прибудинкової території</t>
    </r>
    <r>
      <rPr>
        <b/>
        <sz val="11"/>
        <color indexed="8"/>
        <rFont val="Times New Roman"/>
        <family val="1"/>
        <charset val="204"/>
      </rPr>
      <t xml:space="preserve"> по вул.Захисників України, 5</t>
    </r>
  </si>
  <si>
    <t>Захисників України, 2</t>
  </si>
  <si>
    <t>Захисників України, 5</t>
  </si>
  <si>
    <t>Захисників України, 7</t>
  </si>
  <si>
    <t>Захисників України, 7а</t>
  </si>
  <si>
    <t>Захисників України, 8а</t>
  </si>
  <si>
    <t>Захисників України, 10</t>
  </si>
  <si>
    <t>Захисників України, 11</t>
  </si>
  <si>
    <t>Захисників України, 13</t>
  </si>
  <si>
    <t>Захисників України, 17</t>
  </si>
  <si>
    <t>Захисників України, 15а</t>
  </si>
  <si>
    <t>витрат на утримання будинку та прибудинкової території по вул.Захисників України, 15а</t>
  </si>
  <si>
    <r>
      <t>витрат на утримання будинку та прибуд.території</t>
    </r>
    <r>
      <rPr>
        <b/>
        <sz val="11"/>
        <color indexed="8"/>
        <rFont val="Times New Roman"/>
        <family val="1"/>
        <charset val="204"/>
      </rPr>
      <t xml:space="preserve"> по вул.Захисників України, 4</t>
    </r>
  </si>
  <si>
    <r>
      <t>витрат на утримання будинку та прибуд.території</t>
    </r>
    <r>
      <rPr>
        <b/>
        <sz val="11"/>
        <color indexed="8"/>
        <rFont val="Times New Roman"/>
        <family val="1"/>
        <charset val="204"/>
      </rPr>
      <t xml:space="preserve"> по вул.Захисників України, 4а</t>
    </r>
  </si>
  <si>
    <t>Радісна, 11б</t>
  </si>
  <si>
    <r>
      <t>витрат на утримання будинку та прибудинкової території</t>
    </r>
    <r>
      <rPr>
        <b/>
        <sz val="11"/>
        <color indexed="8"/>
        <rFont val="Times New Roman"/>
        <family val="1"/>
        <charset val="204"/>
      </rPr>
      <t xml:space="preserve"> по вул.Радісна, 11б</t>
    </r>
  </si>
  <si>
    <t xml:space="preserve"> (2 під.) – заміна каналізаційного випуску Ду110 – 6 м.п. (підрядник) - 23376,56 грн..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</si>
</sst>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27" x14ac:knownFonts="1">
    <font>
      <sz val="11"/>
      <color theme="1"/>
      <name val="Calibri"/>
      <family val="2"/>
      <scheme val="minor"/>
    </font>
    <font>
      <sz val="12"/>
      <color theme="1"/>
      <name val="Times New Roman"/>
      <family val="1"/>
      <charset val="204"/>
    </font>
    <font>
      <b/>
      <sz val="12"/>
      <color theme="1"/>
      <name val="Times New Roman"/>
      <family val="1"/>
      <charset val="204"/>
    </font>
    <font>
      <sz val="11"/>
      <color indexed="8"/>
      <name val="Times New Roman"/>
      <family val="1"/>
      <charset val="204"/>
    </font>
    <font>
      <b/>
      <sz val="11"/>
      <color indexed="8"/>
      <name val="Times New Roman"/>
      <family val="1"/>
      <charset val="204"/>
    </font>
    <font>
      <sz val="11"/>
      <color theme="1"/>
      <name val="Times New Roman"/>
      <family val="1"/>
      <charset val="204"/>
    </font>
    <font>
      <b/>
      <sz val="10"/>
      <color indexed="8"/>
      <name val="Times New Roman"/>
      <family val="1"/>
      <charset val="204"/>
    </font>
    <font>
      <b/>
      <sz val="10"/>
      <color indexed="8"/>
      <name val="Calibri"/>
      <family val="2"/>
    </font>
    <font>
      <b/>
      <sz val="11"/>
      <color indexed="8"/>
      <name val="Calibri"/>
      <family val="2"/>
    </font>
    <font>
      <sz val="10"/>
      <color indexed="8"/>
      <name val="Times New Roman"/>
      <family val="1"/>
      <charset val="204"/>
    </font>
    <font>
      <sz val="9"/>
      <color theme="1"/>
      <name val="Times New Roman"/>
      <family val="1"/>
      <charset val="204"/>
    </font>
    <font>
      <sz val="9"/>
      <color theme="1"/>
      <name val="Calibri"/>
      <family val="2"/>
      <scheme val="minor"/>
    </font>
    <font>
      <sz val="10"/>
      <color theme="1"/>
      <name val="Times New Roman"/>
      <family val="1"/>
      <charset val="204"/>
    </font>
    <font>
      <sz val="10"/>
      <color theme="1"/>
      <name val="Calibri"/>
      <family val="2"/>
      <scheme val="minor"/>
    </font>
    <font>
      <sz val="10"/>
      <color indexed="8"/>
      <name val="Calibri"/>
      <family val="2"/>
    </font>
    <font>
      <sz val="11"/>
      <name val="Times New Roman"/>
      <family val="1"/>
      <charset val="204"/>
    </font>
    <font>
      <b/>
      <sz val="11"/>
      <name val="Times New Roman"/>
      <family val="1"/>
      <charset val="204"/>
    </font>
    <font>
      <b/>
      <sz val="11"/>
      <color theme="1"/>
      <name val="Times New Roman"/>
      <family val="1"/>
      <charset val="204"/>
    </font>
    <font>
      <b/>
      <sz val="11"/>
      <color theme="1"/>
      <name val="Calibri"/>
      <family val="2"/>
      <scheme val="minor"/>
    </font>
    <font>
      <sz val="12"/>
      <name val="Times New Roman"/>
      <family val="1"/>
      <charset val="204"/>
    </font>
    <font>
      <sz val="8"/>
      <color theme="1"/>
      <name val="Times New Roman"/>
      <family val="1"/>
      <charset val="204"/>
    </font>
    <font>
      <sz val="8"/>
      <color theme="1"/>
      <name val="Calibri"/>
      <family val="2"/>
      <scheme val="minor"/>
    </font>
    <font>
      <b/>
      <sz val="10"/>
      <name val="Times New Roman"/>
      <family val="1"/>
      <charset val="204"/>
    </font>
    <font>
      <b/>
      <sz val="12"/>
      <name val="Times New Roman"/>
      <family val="1"/>
      <charset val="204"/>
    </font>
    <font>
      <sz val="12"/>
      <color theme="1"/>
      <name val="Calibri"/>
      <family val="2"/>
      <scheme val="minor"/>
    </font>
    <font>
      <sz val="9"/>
      <color rgb="FFFF0000"/>
      <name val="Times New Roman"/>
      <family val="1"/>
      <charset val="204"/>
    </font>
    <font>
      <sz val="9"/>
      <color rgb="FFFF000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56">
    <border>
      <left/>
      <right/>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1">
    <xf numFmtId="0" fontId="0" fillId="0" borderId="0"/>
  </cellStyleXfs>
  <cellXfs count="373">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xf numFmtId="0" fontId="3" fillId="0" borderId="10" xfId="0" applyFont="1" applyBorder="1"/>
    <xf numFmtId="0" fontId="3" fillId="0" borderId="11" xfId="0" applyFont="1" applyBorder="1"/>
    <xf numFmtId="164" fontId="5" fillId="0" borderId="18" xfId="0" applyNumberFormat="1" applyFont="1" applyBorder="1" applyAlignment="1">
      <alignment horizontal="center"/>
    </xf>
    <xf numFmtId="0" fontId="3" fillId="0" borderId="22" xfId="0" applyFont="1" applyBorder="1" applyAlignment="1">
      <alignment vertical="top"/>
    </xf>
    <xf numFmtId="0" fontId="3" fillId="0" borderId="9" xfId="0" applyFont="1" applyBorder="1" applyAlignment="1">
      <alignment vertical="top"/>
    </xf>
    <xf numFmtId="0" fontId="5" fillId="0" borderId="18" xfId="0" applyFont="1" applyBorder="1" applyAlignment="1">
      <alignment horizontal="center" wrapText="1"/>
    </xf>
    <xf numFmtId="0" fontId="3" fillId="0" borderId="29" xfId="0" applyFont="1" applyBorder="1" applyAlignment="1">
      <alignment vertical="top"/>
    </xf>
    <xf numFmtId="0" fontId="6" fillId="0" borderId="34" xfId="0" applyFont="1" applyBorder="1"/>
    <xf numFmtId="164" fontId="6" fillId="0" borderId="18" xfId="0" applyNumberFormat="1" applyFont="1" applyBorder="1" applyAlignment="1">
      <alignment horizontal="center"/>
    </xf>
    <xf numFmtId="0" fontId="4" fillId="0" borderId="38" xfId="0" applyFont="1" applyBorder="1" applyAlignment="1">
      <alignment vertical="top"/>
    </xf>
    <xf numFmtId="164" fontId="6" fillId="0" borderId="8" xfId="0" applyNumberFormat="1" applyFont="1" applyBorder="1" applyAlignment="1">
      <alignment horizontal="center"/>
    </xf>
    <xf numFmtId="0" fontId="3" fillId="0" borderId="22" xfId="0" applyFont="1" applyBorder="1"/>
    <xf numFmtId="0" fontId="9" fillId="0" borderId="34" xfId="0" applyFont="1" applyBorder="1"/>
    <xf numFmtId="0" fontId="4" fillId="0" borderId="34" xfId="0" applyFont="1" applyBorder="1"/>
    <xf numFmtId="164" fontId="4" fillId="0" borderId="4" xfId="0" applyNumberFormat="1" applyFont="1" applyBorder="1" applyAlignment="1">
      <alignment horizontal="center"/>
    </xf>
    <xf numFmtId="0" fontId="3" fillId="0" borderId="9" xfId="0" applyFont="1" applyBorder="1"/>
    <xf numFmtId="0" fontId="17" fillId="0" borderId="18" xfId="0" applyFont="1" applyBorder="1" applyAlignment="1">
      <alignment horizontal="center" vertical="center"/>
    </xf>
    <xf numFmtId="0" fontId="5" fillId="0" borderId="18" xfId="0" applyFont="1" applyBorder="1" applyAlignment="1">
      <alignment horizontal="center" vertical="center"/>
    </xf>
    <xf numFmtId="0" fontId="8" fillId="0" borderId="9" xfId="0" applyFont="1" applyBorder="1" applyAlignment="1">
      <alignment horizontal="center" vertical="center" wrapText="1"/>
    </xf>
    <xf numFmtId="0" fontId="4" fillId="0" borderId="1" xfId="0" applyFont="1" applyBorder="1"/>
    <xf numFmtId="0" fontId="16" fillId="0" borderId="0" xfId="0" applyFont="1"/>
    <xf numFmtId="164" fontId="8" fillId="0" borderId="0" xfId="0" applyNumberFormat="1" applyFont="1" applyAlignment="1">
      <alignment horizontal="center"/>
    </xf>
    <xf numFmtId="0" fontId="16" fillId="0" borderId="27" xfId="0" applyFont="1" applyBorder="1"/>
    <xf numFmtId="0" fontId="16" fillId="0" borderId="28" xfId="0" applyFont="1" applyBorder="1"/>
    <xf numFmtId="0" fontId="19" fillId="0" borderId="0" xfId="0" applyFont="1"/>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164" fontId="8" fillId="0" borderId="4" xfId="0" applyNumberFormat="1" applyFont="1" applyBorder="1" applyAlignment="1">
      <alignment horizontal="center" vertical="center" wrapText="1"/>
    </xf>
    <xf numFmtId="164" fontId="8" fillId="0" borderId="15" xfId="0" applyNumberFormat="1" applyFont="1" applyBorder="1" applyAlignment="1">
      <alignment horizontal="center" vertical="center" wrapText="1"/>
    </xf>
    <xf numFmtId="164" fontId="0" fillId="0" borderId="41" xfId="0" applyNumberFormat="1" applyBorder="1" applyAlignment="1">
      <alignment horizontal="center"/>
    </xf>
    <xf numFmtId="164" fontId="0" fillId="0" borderId="42" xfId="0" applyNumberFormat="1" applyBorder="1" applyAlignment="1">
      <alignment horizontal="center"/>
    </xf>
    <xf numFmtId="164" fontId="3" fillId="0" borderId="43" xfId="0" applyNumberFormat="1" applyFont="1" applyBorder="1" applyAlignment="1">
      <alignment horizontal="center"/>
    </xf>
    <xf numFmtId="164" fontId="3" fillId="0" borderId="15" xfId="0" applyNumberFormat="1" applyFont="1" applyBorder="1" applyAlignment="1">
      <alignment horizontal="center"/>
    </xf>
    <xf numFmtId="164" fontId="3" fillId="0" borderId="41" xfId="0" applyNumberFormat="1" applyFont="1" applyBorder="1" applyAlignment="1">
      <alignment horizontal="center"/>
    </xf>
    <xf numFmtId="164" fontId="8" fillId="0" borderId="18" xfId="0" applyNumberFormat="1" applyFont="1" applyBorder="1" applyAlignment="1">
      <alignment horizontal="center"/>
    </xf>
    <xf numFmtId="164" fontId="0" fillId="0" borderId="0" xfId="0" applyNumberFormat="1" applyAlignment="1">
      <alignment horizontal="center"/>
    </xf>
    <xf numFmtId="164" fontId="0" fillId="0" borderId="44" xfId="0" applyNumberFormat="1" applyBorder="1" applyAlignment="1">
      <alignment horizontal="center"/>
    </xf>
    <xf numFmtId="164" fontId="0" fillId="0" borderId="26" xfId="0" applyNumberFormat="1" applyBorder="1" applyAlignment="1">
      <alignment horizontal="center"/>
    </xf>
    <xf numFmtId="164" fontId="0" fillId="0" borderId="43" xfId="0" applyNumberFormat="1" applyBorder="1" applyAlignment="1">
      <alignment horizontal="center"/>
    </xf>
    <xf numFmtId="164" fontId="0" fillId="0" borderId="45" xfId="0" applyNumberFormat="1" applyBorder="1" applyAlignment="1">
      <alignment horizontal="center"/>
    </xf>
    <xf numFmtId="164" fontId="0" fillId="0" borderId="15" xfId="0" applyNumberFormat="1" applyBorder="1" applyAlignment="1">
      <alignment horizontal="center"/>
    </xf>
    <xf numFmtId="0" fontId="0" fillId="0" borderId="4" xfId="0" applyBorder="1"/>
    <xf numFmtId="0" fontId="0" fillId="0" borderId="15" xfId="0" applyBorder="1"/>
    <xf numFmtId="0" fontId="3" fillId="0" borderId="8" xfId="0" applyFont="1" applyBorder="1"/>
    <xf numFmtId="0" fontId="22" fillId="0" borderId="0" xfId="0" applyFont="1"/>
    <xf numFmtId="0" fontId="8" fillId="0" borderId="2" xfId="0" applyFont="1" applyBorder="1" applyAlignment="1">
      <alignment horizontal="center" vertical="center" wrapText="1"/>
    </xf>
    <xf numFmtId="0" fontId="8" fillId="0" borderId="6" xfId="0" applyFont="1" applyBorder="1" applyAlignment="1">
      <alignment horizontal="center" vertical="center" wrapText="1"/>
    </xf>
    <xf numFmtId="164" fontId="8" fillId="0" borderId="2" xfId="0" applyNumberFormat="1" applyFont="1" applyBorder="1" applyAlignment="1">
      <alignment horizontal="center" vertical="center" wrapText="1"/>
    </xf>
    <xf numFmtId="164" fontId="8" fillId="0" borderId="0" xfId="0" applyNumberFormat="1" applyFont="1" applyAlignment="1">
      <alignment horizontal="center" vertical="center" wrapText="1"/>
    </xf>
    <xf numFmtId="164" fontId="3" fillId="0" borderId="46" xfId="0" applyNumberFormat="1" applyFont="1" applyBorder="1" applyAlignment="1">
      <alignment horizontal="center"/>
    </xf>
    <xf numFmtId="164" fontId="3" fillId="0" borderId="0" xfId="0" applyNumberFormat="1" applyFont="1" applyAlignment="1">
      <alignment horizontal="center"/>
    </xf>
    <xf numFmtId="164" fontId="3" fillId="0" borderId="44" xfId="0" applyNumberFormat="1" applyFont="1" applyBorder="1" applyAlignment="1">
      <alignment horizontal="center"/>
    </xf>
    <xf numFmtId="164" fontId="8" fillId="0" borderId="28" xfId="0" applyNumberFormat="1" applyFont="1" applyBorder="1" applyAlignment="1">
      <alignment horizontal="center"/>
    </xf>
    <xf numFmtId="164" fontId="0" fillId="0" borderId="46" xfId="0" applyNumberFormat="1" applyBorder="1" applyAlignment="1">
      <alignment horizontal="center"/>
    </xf>
    <xf numFmtId="0" fontId="0" fillId="0" borderId="2" xfId="0" applyBorder="1"/>
    <xf numFmtId="0" fontId="3" fillId="0" borderId="6" xfId="0" applyFont="1" applyBorder="1"/>
    <xf numFmtId="164" fontId="8" fillId="0" borderId="15" xfId="0" applyNumberFormat="1" applyFont="1" applyBorder="1" applyAlignment="1">
      <alignment horizontal="center"/>
    </xf>
    <xf numFmtId="164" fontId="0" fillId="0" borderId="2" xfId="0" applyNumberFormat="1" applyBorder="1" applyAlignment="1">
      <alignment horizontal="center"/>
    </xf>
    <xf numFmtId="0" fontId="0" fillId="0" borderId="27" xfId="0" applyBorder="1"/>
    <xf numFmtId="0" fontId="3" fillId="3" borderId="0" xfId="0" applyFont="1" applyFill="1"/>
    <xf numFmtId="0" fontId="4" fillId="3" borderId="0" xfId="0" applyFont="1" applyFill="1"/>
    <xf numFmtId="0" fontId="5" fillId="3" borderId="0" xfId="0" applyFont="1" applyFill="1"/>
    <xf numFmtId="0" fontId="3" fillId="0" borderId="18" xfId="0" applyFont="1" applyBorder="1"/>
    <xf numFmtId="0" fontId="0" fillId="0" borderId="28" xfId="0" applyBorder="1"/>
    <xf numFmtId="0" fontId="3" fillId="0" borderId="28" xfId="0" applyFont="1" applyBorder="1"/>
    <xf numFmtId="0" fontId="0" fillId="0" borderId="18" xfId="0" applyBorder="1"/>
    <xf numFmtId="0" fontId="0" fillId="0" borderId="3" xfId="0" applyBorder="1"/>
    <xf numFmtId="0" fontId="16" fillId="0" borderId="0" xfId="0" applyFont="1" applyAlignment="1">
      <alignment horizontal="center" wrapText="1"/>
    </xf>
    <xf numFmtId="0" fontId="16" fillId="0" borderId="0" xfId="0" applyFont="1" applyAlignment="1">
      <alignment horizontal="left" vertical="top" wrapText="1"/>
    </xf>
    <xf numFmtId="0" fontId="16" fillId="0" borderId="34" xfId="0" applyFont="1" applyBorder="1"/>
    <xf numFmtId="0" fontId="0" fillId="0" borderId="0" xfId="0" applyAlignment="1">
      <alignment horizontal="left" vertical="top"/>
    </xf>
    <xf numFmtId="0" fontId="5" fillId="0" borderId="0" xfId="0" applyFont="1" applyAlignment="1">
      <alignment wrapText="1"/>
    </xf>
    <xf numFmtId="0" fontId="3" fillId="0" borderId="39" xfId="0" applyFont="1" applyBorder="1" applyAlignment="1">
      <alignment wrapText="1"/>
    </xf>
    <xf numFmtId="0" fontId="0" fillId="0" borderId="39" xfId="0" applyBorder="1" applyAlignment="1">
      <alignment wrapText="1"/>
    </xf>
    <xf numFmtId="165" fontId="3" fillId="0" borderId="3" xfId="0" applyNumberFormat="1" applyFont="1" applyBorder="1" applyAlignment="1">
      <alignment horizontal="center" vertical="center" wrapText="1"/>
    </xf>
    <xf numFmtId="165" fontId="0" fillId="0" borderId="4" xfId="0" applyNumberFormat="1" applyBorder="1" applyAlignment="1">
      <alignment horizontal="center" vertical="center" wrapText="1"/>
    </xf>
    <xf numFmtId="165" fontId="0" fillId="0" borderId="7" xfId="0" applyNumberFormat="1" applyBorder="1" applyAlignment="1">
      <alignment horizontal="center" vertical="center" wrapText="1"/>
    </xf>
    <xf numFmtId="165" fontId="0" fillId="0" borderId="8" xfId="0" applyNumberFormat="1" applyBorder="1" applyAlignment="1">
      <alignment horizontal="center" vertical="center" wrapText="1"/>
    </xf>
    <xf numFmtId="0" fontId="3" fillId="0" borderId="31" xfId="0" applyFont="1" applyBorder="1" applyAlignment="1">
      <alignment wrapText="1"/>
    </xf>
    <xf numFmtId="0" fontId="0" fillId="0" borderId="31" xfId="0" applyBorder="1" applyAlignment="1">
      <alignment wrapText="1"/>
    </xf>
    <xf numFmtId="2" fontId="3" fillId="0" borderId="3" xfId="0" applyNumberFormat="1" applyFont="1" applyBorder="1" applyAlignment="1">
      <alignment horizontal="center" vertical="center" wrapText="1"/>
    </xf>
    <xf numFmtId="2" fontId="0" fillId="0" borderId="4" xfId="0" applyNumberFormat="1" applyBorder="1" applyAlignment="1">
      <alignment horizontal="center" vertical="center" wrapText="1"/>
    </xf>
    <xf numFmtId="2" fontId="0" fillId="0" borderId="14" xfId="0" applyNumberFormat="1" applyBorder="1" applyAlignment="1">
      <alignment horizontal="center" vertical="center" wrapText="1"/>
    </xf>
    <xf numFmtId="2" fontId="0" fillId="0" borderId="15" xfId="0" applyNumberFormat="1" applyBorder="1" applyAlignment="1">
      <alignment horizontal="center" vertical="center" wrapText="1"/>
    </xf>
    <xf numFmtId="2" fontId="0" fillId="0" borderId="7" xfId="0" applyNumberFormat="1" applyBorder="1" applyAlignment="1">
      <alignment horizontal="center" vertical="center" wrapText="1"/>
    </xf>
    <xf numFmtId="2" fontId="0" fillId="0" borderId="8" xfId="0" applyNumberFormat="1" applyBorder="1" applyAlignment="1">
      <alignment horizontal="center" vertical="center" wrapText="1"/>
    </xf>
    <xf numFmtId="164" fontId="12" fillId="0" borderId="1" xfId="0" applyNumberFormat="1" applyFont="1" applyBorder="1" applyAlignment="1">
      <alignment horizontal="center" wrapText="1"/>
    </xf>
    <xf numFmtId="0" fontId="13" fillId="0" borderId="9" xfId="0" applyFont="1" applyBorder="1" applyAlignment="1">
      <alignment wrapText="1"/>
    </xf>
    <xf numFmtId="0" fontId="13" fillId="0" borderId="5" xfId="0" applyFont="1" applyBorder="1" applyAlignment="1">
      <alignment wrapText="1"/>
    </xf>
    <xf numFmtId="0" fontId="2" fillId="0" borderId="2" xfId="0" applyFont="1" applyBorder="1" applyAlignment="1">
      <alignment horizontal="center" wrapText="1"/>
    </xf>
    <xf numFmtId="0" fontId="6" fillId="0" borderId="27" xfId="0" applyFont="1" applyBorder="1" applyAlignment="1">
      <alignment horizontal="left" vertical="center" wrapText="1"/>
    </xf>
    <xf numFmtId="0" fontId="5" fillId="0" borderId="28" xfId="0" applyFont="1" applyBorder="1" applyAlignment="1">
      <alignment horizontal="left" vertical="center" wrapText="1"/>
    </xf>
    <xf numFmtId="165" fontId="4" fillId="0" borderId="27" xfId="0" applyNumberFormat="1" applyFont="1" applyBorder="1" applyAlignment="1">
      <alignment horizontal="center" vertical="center" wrapText="1"/>
    </xf>
    <xf numFmtId="165" fontId="17" fillId="0" borderId="28" xfId="0" applyNumberFormat="1" applyFont="1" applyBorder="1" applyAlignment="1">
      <alignment horizontal="center" vertical="center" wrapText="1"/>
    </xf>
    <xf numFmtId="165" fontId="17" fillId="0" borderId="18" xfId="0" applyNumberFormat="1" applyFont="1" applyBorder="1" applyAlignment="1">
      <alignment horizontal="center" vertical="center" wrapText="1"/>
    </xf>
    <xf numFmtId="0" fontId="16" fillId="0" borderId="3" xfId="0" applyFont="1" applyBorder="1"/>
    <xf numFmtId="0" fontId="16" fillId="0" borderId="2" xfId="0" applyFont="1" applyBorder="1"/>
    <xf numFmtId="165" fontId="17" fillId="0" borderId="27" xfId="0" applyNumberFormat="1" applyFont="1" applyBorder="1" applyAlignment="1">
      <alignment horizontal="center" vertical="center"/>
    </xf>
    <xf numFmtId="165" fontId="17" fillId="0" borderId="28" xfId="0" applyNumberFormat="1" applyFont="1" applyBorder="1" applyAlignment="1">
      <alignment horizontal="center" vertical="center"/>
    </xf>
    <xf numFmtId="165" fontId="17" fillId="0" borderId="18" xfId="0" applyNumberFormat="1" applyFont="1" applyBorder="1" applyAlignment="1">
      <alignment horizontal="center" vertical="center"/>
    </xf>
    <xf numFmtId="0" fontId="16" fillId="0" borderId="27" xfId="0" applyFont="1" applyBorder="1"/>
    <xf numFmtId="0" fontId="16" fillId="0" borderId="28" xfId="0" applyFont="1" applyBorder="1"/>
    <xf numFmtId="164" fontId="5" fillId="0" borderId="1" xfId="0" applyNumberFormat="1" applyFont="1" applyBorder="1" applyAlignment="1">
      <alignment horizontal="center" vertical="center"/>
    </xf>
    <xf numFmtId="0" fontId="0" fillId="0" borderId="5" xfId="0" applyBorder="1" applyAlignment="1">
      <alignment horizontal="center" vertical="center"/>
    </xf>
    <xf numFmtId="0" fontId="3" fillId="0" borderId="7" xfId="0" applyFont="1" applyBorder="1"/>
    <xf numFmtId="0" fontId="0" fillId="0" borderId="6" xfId="0" applyBorder="1"/>
    <xf numFmtId="0" fontId="15" fillId="0" borderId="3" xfId="0" applyFont="1" applyBorder="1"/>
    <xf numFmtId="0" fontId="15" fillId="0" borderId="2" xfId="0" applyFont="1" applyBorder="1"/>
    <xf numFmtId="2" fontId="4" fillId="0" borderId="3" xfId="0" applyNumberFormat="1" applyFont="1" applyBorder="1" applyAlignment="1">
      <alignment horizontal="center"/>
    </xf>
    <xf numFmtId="2" fontId="5" fillId="0" borderId="4" xfId="0" applyNumberFormat="1" applyFont="1" applyBorder="1" applyAlignment="1">
      <alignment horizontal="center"/>
    </xf>
    <xf numFmtId="2" fontId="17" fillId="0" borderId="27" xfId="0" applyNumberFormat="1" applyFont="1" applyBorder="1" applyAlignment="1">
      <alignment horizontal="center" vertical="center"/>
    </xf>
    <xf numFmtId="2" fontId="18" fillId="0" borderId="18" xfId="0" applyNumberFormat="1" applyFont="1" applyBorder="1" applyAlignment="1">
      <alignment horizontal="center" vertical="center"/>
    </xf>
    <xf numFmtId="0" fontId="3" fillId="0" borderId="35" xfId="0" applyFont="1" applyBorder="1"/>
    <xf numFmtId="0" fontId="0" fillId="0" borderId="36" xfId="0" applyBorder="1"/>
    <xf numFmtId="0" fontId="0" fillId="0" borderId="37" xfId="0" applyBorder="1"/>
    <xf numFmtId="0" fontId="3" fillId="0" borderId="13" xfId="0" applyFont="1" applyBorder="1"/>
    <xf numFmtId="0" fontId="0" fillId="0" borderId="13" xfId="0" applyBorder="1"/>
    <xf numFmtId="0" fontId="3" fillId="0" borderId="33" xfId="0" applyFont="1" applyBorder="1" applyAlignment="1">
      <alignment wrapText="1"/>
    </xf>
    <xf numFmtId="0" fontId="0" fillId="0" borderId="33" xfId="0" applyBorder="1" applyAlignment="1">
      <alignment wrapText="1"/>
    </xf>
    <xf numFmtId="0" fontId="3" fillId="0" borderId="30" xfId="0" applyFont="1" applyBorder="1"/>
    <xf numFmtId="0" fontId="0" fillId="0" borderId="31" xfId="0" applyBorder="1"/>
    <xf numFmtId="0" fontId="0" fillId="0" borderId="7" xfId="0" applyBorder="1" applyAlignment="1">
      <alignment horizontal="center" vertical="center" wrapText="1"/>
    </xf>
    <xf numFmtId="0" fontId="0" fillId="0" borderId="8" xfId="0" applyBorder="1" applyAlignment="1">
      <alignment horizontal="center" vertical="center" wrapText="1"/>
    </xf>
    <xf numFmtId="164" fontId="12" fillId="0" borderId="1"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3" fillId="0" borderId="32" xfId="0" applyFont="1" applyBorder="1"/>
    <xf numFmtId="0" fontId="0" fillId="0" borderId="33" xfId="0" applyBorder="1"/>
    <xf numFmtId="0" fontId="6" fillId="0" borderId="28" xfId="0" applyFont="1" applyBorder="1" applyAlignment="1">
      <alignment horizontal="left" vertical="center" wrapText="1"/>
    </xf>
    <xf numFmtId="0" fontId="7" fillId="0" borderId="28" xfId="0" applyFont="1" applyBorder="1" applyAlignment="1">
      <alignment horizontal="left" vertical="center" wrapText="1"/>
    </xf>
    <xf numFmtId="2" fontId="6" fillId="0" borderId="27" xfId="0" applyNumberFormat="1" applyFont="1" applyBorder="1" applyAlignment="1">
      <alignment horizontal="center"/>
    </xf>
    <xf numFmtId="2" fontId="7" fillId="0" borderId="18" xfId="0" applyNumberFormat="1" applyFont="1" applyBorder="1" applyAlignment="1">
      <alignment horizontal="center"/>
    </xf>
    <xf numFmtId="0" fontId="9" fillId="0" borderId="7" xfId="0" applyFont="1" applyBorder="1" applyAlignment="1">
      <alignment wrapText="1"/>
    </xf>
    <xf numFmtId="0" fontId="14" fillId="0" borderId="6" xfId="0" applyFont="1" applyBorder="1" applyAlignment="1">
      <alignment wrapText="1"/>
    </xf>
    <xf numFmtId="2" fontId="9" fillId="0" borderId="7" xfId="0" applyNumberFormat="1" applyFont="1" applyBorder="1" applyAlignment="1">
      <alignment horizontal="center"/>
    </xf>
    <xf numFmtId="2" fontId="14" fillId="0" borderId="8" xfId="0" applyNumberFormat="1" applyFont="1" applyBorder="1" applyAlignment="1">
      <alignment horizontal="center"/>
    </xf>
    <xf numFmtId="0" fontId="3" fillId="0" borderId="19" xfId="0" applyFont="1" applyBorder="1" applyAlignment="1">
      <alignment wrapText="1"/>
    </xf>
    <xf numFmtId="0" fontId="0" fillId="0" borderId="20" xfId="0" applyBorder="1" applyAlignment="1">
      <alignment wrapText="1"/>
    </xf>
    <xf numFmtId="2" fontId="3" fillId="0" borderId="19" xfId="0" applyNumberFormat="1" applyFont="1" applyBorder="1" applyAlignment="1">
      <alignment horizontal="center"/>
    </xf>
    <xf numFmtId="2" fontId="0" fillId="0" borderId="21" xfId="0" applyNumberFormat="1" applyBorder="1" applyAlignment="1">
      <alignment horizontal="center"/>
    </xf>
    <xf numFmtId="0" fontId="3" fillId="0" borderId="23" xfId="0" applyFont="1" applyBorder="1" applyAlignment="1">
      <alignment wrapText="1"/>
    </xf>
    <xf numFmtId="0" fontId="3" fillId="0" borderId="24" xfId="0" applyFont="1" applyBorder="1" applyAlignment="1">
      <alignment wrapText="1"/>
    </xf>
    <xf numFmtId="0" fontId="0" fillId="0" borderId="4"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7" xfId="0" applyBorder="1" applyAlignment="1">
      <alignment vertical="center"/>
    </xf>
    <xf numFmtId="0" fontId="0" fillId="0" borderId="8" xfId="0" applyBorder="1" applyAlignment="1">
      <alignment vertical="center"/>
    </xf>
    <xf numFmtId="0" fontId="10" fillId="0" borderId="1" xfId="0" applyFont="1" applyBorder="1" applyAlignment="1">
      <alignment vertical="center" wrapText="1"/>
    </xf>
    <xf numFmtId="0" fontId="11" fillId="0" borderId="9" xfId="0" applyFont="1" applyBorder="1" applyAlignment="1">
      <alignment vertical="center" wrapText="1"/>
    </xf>
    <xf numFmtId="0" fontId="11" fillId="0" borderId="5" xfId="0" applyFont="1" applyBorder="1" applyAlignment="1">
      <alignment vertical="center" wrapText="1"/>
    </xf>
    <xf numFmtId="0" fontId="3" fillId="0" borderId="25" xfId="0" applyFont="1" applyBorder="1"/>
    <xf numFmtId="0" fontId="3" fillId="0" borderId="26" xfId="0" applyFont="1" applyBorder="1"/>
    <xf numFmtId="0" fontId="3" fillId="0" borderId="16" xfId="0" applyFont="1" applyBorder="1"/>
    <xf numFmtId="0" fontId="3" fillId="0" borderId="17" xfId="0" applyFont="1" applyBorder="1"/>
    <xf numFmtId="0" fontId="3" fillId="0" borderId="27" xfId="0" applyFont="1" applyBorder="1"/>
    <xf numFmtId="0" fontId="3" fillId="0" borderId="28" xfId="0" applyFont="1" applyBorder="1"/>
    <xf numFmtId="0" fontId="3" fillId="0" borderId="3" xfId="0" applyFont="1" applyBorder="1" applyAlignment="1">
      <alignment wrapText="1"/>
    </xf>
    <xf numFmtId="0" fontId="0" fillId="0" borderId="2" xfId="0" applyBorder="1" applyAlignment="1">
      <alignment wrapText="1"/>
    </xf>
    <xf numFmtId="165" fontId="3" fillId="0" borderId="3" xfId="0" applyNumberFormat="1" applyFont="1" applyBorder="1" applyAlignment="1">
      <alignment horizontal="center" vertical="center"/>
    </xf>
    <xf numFmtId="165" fontId="0" fillId="0" borderId="4" xfId="0" applyNumberFormat="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164" fontId="5" fillId="0" borderId="1" xfId="0" applyNumberFormat="1" applyFont="1" applyBorder="1" applyAlignment="1">
      <alignment horizontal="center" vertical="center" wrapText="1"/>
    </xf>
    <xf numFmtId="0" fontId="0" fillId="0" borderId="5" xfId="0" applyBorder="1" applyAlignment="1">
      <alignment horizontal="center" vertical="center" wrapText="1"/>
    </xf>
    <xf numFmtId="0" fontId="3" fillId="0" borderId="12" xfId="0" applyFont="1" applyBorder="1" applyAlignment="1">
      <alignment wrapText="1"/>
    </xf>
    <xf numFmtId="0" fontId="0" fillId="0" borderId="13" xfId="0" applyBorder="1" applyAlignment="1">
      <alignment wrapText="1"/>
    </xf>
    <xf numFmtId="0" fontId="9" fillId="0" borderId="16" xfId="0" applyFont="1" applyBorder="1" applyAlignment="1">
      <alignment wrapText="1"/>
    </xf>
    <xf numFmtId="0" fontId="0" fillId="0" borderId="17" xfId="0" applyBorder="1" applyAlignment="1">
      <alignment wrapText="1"/>
    </xf>
    <xf numFmtId="0" fontId="6" fillId="0" borderId="1" xfId="0" applyFont="1" applyBorder="1" applyAlignment="1">
      <alignment horizontal="center" vertical="center" wrapText="1"/>
    </xf>
    <xf numFmtId="0" fontId="7" fillId="0" borderId="5" xfId="0" applyFont="1" applyBorder="1" applyAlignment="1">
      <alignment horizontal="center" vertical="center" wrapText="1"/>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6"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5" fillId="0" borderId="5" xfId="0" applyFont="1" applyBorder="1" applyAlignment="1">
      <alignment horizontal="center" vertical="center" wrapText="1"/>
    </xf>
    <xf numFmtId="0" fontId="4" fillId="0" borderId="1" xfId="0" applyFont="1" applyBorder="1" applyAlignment="1">
      <alignment horizontal="center" vertical="center" wrapText="1"/>
    </xf>
    <xf numFmtId="0" fontId="8" fillId="0" borderId="9" xfId="0" applyFont="1" applyBorder="1" applyAlignment="1">
      <alignment horizontal="center" vertical="center" wrapText="1"/>
    </xf>
    <xf numFmtId="0" fontId="6" fillId="0" borderId="2" xfId="0" applyFont="1" applyBorder="1" applyAlignment="1">
      <alignment horizontal="left" vertical="center" wrapText="1"/>
    </xf>
    <xf numFmtId="0" fontId="7" fillId="0" borderId="2" xfId="0" applyFont="1" applyBorder="1" applyAlignment="1">
      <alignment horizontal="left" vertical="center" wrapText="1"/>
    </xf>
    <xf numFmtId="0" fontId="7" fillId="0" borderId="6" xfId="0" applyFont="1" applyBorder="1" applyAlignment="1">
      <alignment horizontal="left" vertical="center" wrapText="1"/>
    </xf>
    <xf numFmtId="164" fontId="4" fillId="0" borderId="3" xfId="0" applyNumberFormat="1" applyFont="1" applyBorder="1" applyAlignment="1">
      <alignment horizontal="center" vertical="center" wrapText="1"/>
    </xf>
    <xf numFmtId="164" fontId="8" fillId="0" borderId="2" xfId="0" applyNumberFormat="1" applyFont="1" applyBorder="1" applyAlignment="1">
      <alignment horizontal="center" vertical="center" wrapText="1"/>
    </xf>
    <xf numFmtId="0" fontId="0" fillId="0" borderId="4" xfId="0" applyBorder="1" applyAlignment="1">
      <alignment horizontal="center" vertical="center" wrapText="1"/>
    </xf>
    <xf numFmtId="164" fontId="8" fillId="0" borderId="7" xfId="0" applyNumberFormat="1" applyFont="1" applyBorder="1" applyAlignment="1">
      <alignment horizontal="center" vertical="center" wrapText="1"/>
    </xf>
    <xf numFmtId="164" fontId="8" fillId="0" borderId="6" xfId="0" applyNumberFormat="1" applyFont="1" applyBorder="1" applyAlignment="1">
      <alignment horizontal="center" vertical="center" wrapText="1"/>
    </xf>
    <xf numFmtId="0" fontId="16" fillId="0" borderId="2" xfId="0" applyFont="1" applyBorder="1" applyAlignment="1">
      <alignment horizontal="center" wrapText="1"/>
    </xf>
    <xf numFmtId="0" fontId="1" fillId="0" borderId="40" xfId="0" applyFont="1" applyBorder="1" applyAlignment="1">
      <alignment horizontal="center" vertical="center" wrapText="1"/>
    </xf>
    <xf numFmtId="0" fontId="1" fillId="0" borderId="2" xfId="0" applyFont="1" applyBorder="1" applyAlignment="1">
      <alignment horizontal="center" vertical="center" wrapText="1"/>
    </xf>
    <xf numFmtId="165" fontId="4" fillId="0" borderId="3" xfId="0" applyNumberFormat="1" applyFont="1" applyBorder="1" applyAlignment="1">
      <alignment horizontal="center" vertical="center" wrapText="1"/>
    </xf>
    <xf numFmtId="165" fontId="8" fillId="0" borderId="2" xfId="0" applyNumberFormat="1" applyFont="1" applyBorder="1" applyAlignment="1">
      <alignment horizontal="center" vertical="center" wrapText="1"/>
    </xf>
    <xf numFmtId="165" fontId="8" fillId="0" borderId="7"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0" fontId="1" fillId="0" borderId="2" xfId="0" applyFont="1" applyBorder="1" applyAlignment="1">
      <alignment horizontal="center" wrapText="1"/>
    </xf>
    <xf numFmtId="0" fontId="1" fillId="0" borderId="2" xfId="0" applyFont="1" applyBorder="1" applyAlignment="1">
      <alignment wrapText="1"/>
    </xf>
    <xf numFmtId="0" fontId="0" fillId="0" borderId="2" xfId="0" applyBorder="1"/>
    <xf numFmtId="0" fontId="6" fillId="0" borderId="18" xfId="0" applyFont="1" applyBorder="1" applyAlignment="1">
      <alignment horizontal="left" vertical="center" wrapText="1"/>
    </xf>
    <xf numFmtId="165" fontId="4" fillId="0" borderId="28" xfId="0" applyNumberFormat="1" applyFont="1" applyBorder="1" applyAlignment="1">
      <alignment horizontal="center" vertical="center" wrapText="1"/>
    </xf>
    <xf numFmtId="165" fontId="4" fillId="0" borderId="18" xfId="0" applyNumberFormat="1" applyFont="1" applyBorder="1" applyAlignment="1">
      <alignment horizontal="center" vertical="center" wrapText="1"/>
    </xf>
    <xf numFmtId="0" fontId="16" fillId="0" borderId="18" xfId="0" applyFont="1" applyBorder="1"/>
    <xf numFmtId="0" fontId="15" fillId="0" borderId="27" xfId="0" applyFont="1" applyBorder="1"/>
    <xf numFmtId="0" fontId="15" fillId="0" borderId="28" xfId="0" applyFont="1" applyBorder="1"/>
    <xf numFmtId="0" fontId="15" fillId="0" borderId="18" xfId="0" applyFont="1" applyBorder="1"/>
    <xf numFmtId="2" fontId="4" fillId="0" borderId="27" xfId="0" applyNumberFormat="1" applyFont="1" applyBorder="1" applyAlignment="1">
      <alignment horizontal="center"/>
    </xf>
    <xf numFmtId="2" fontId="4" fillId="0" borderId="18" xfId="0" applyNumberFormat="1" applyFont="1" applyBorder="1" applyAlignment="1">
      <alignment horizontal="center"/>
    </xf>
    <xf numFmtId="2" fontId="17" fillId="0" borderId="18" xfId="0" applyNumberFormat="1" applyFont="1" applyBorder="1" applyAlignment="1">
      <alignment horizontal="center" vertical="center"/>
    </xf>
    <xf numFmtId="0" fontId="3" fillId="0" borderId="52" xfId="0" applyFont="1" applyBorder="1" applyAlignment="1">
      <alignment wrapText="1"/>
    </xf>
    <xf numFmtId="2" fontId="3" fillId="0" borderId="4" xfId="0" applyNumberFormat="1" applyFont="1" applyBorder="1" applyAlignment="1">
      <alignment horizontal="center" vertical="center" wrapText="1"/>
    </xf>
    <xf numFmtId="2" fontId="3" fillId="0" borderId="7" xfId="0" applyNumberFormat="1" applyFont="1" applyBorder="1" applyAlignment="1">
      <alignment horizontal="center" vertical="center" wrapText="1"/>
    </xf>
    <xf numFmtId="2" fontId="3" fillId="0" borderId="8" xfId="0" applyNumberFormat="1" applyFont="1" applyBorder="1" applyAlignment="1">
      <alignment horizontal="center" vertical="center" wrapText="1"/>
    </xf>
    <xf numFmtId="164" fontId="5" fillId="0" borderId="5" xfId="0" applyNumberFormat="1" applyFont="1" applyBorder="1" applyAlignment="1">
      <alignment horizontal="center" vertical="center"/>
    </xf>
    <xf numFmtId="0" fontId="3" fillId="0" borderId="51" xfId="0" applyFont="1" applyBorder="1"/>
    <xf numFmtId="0" fontId="9" fillId="0" borderId="27" xfId="0" applyFont="1" applyBorder="1" applyAlignment="1">
      <alignment wrapText="1"/>
    </xf>
    <xf numFmtId="0" fontId="9" fillId="0" borderId="28" xfId="0" applyFont="1" applyBorder="1" applyAlignment="1">
      <alignment wrapText="1"/>
    </xf>
    <xf numFmtId="0" fontId="9" fillId="0" borderId="18" xfId="0" applyFont="1" applyBorder="1" applyAlignment="1">
      <alignment wrapText="1"/>
    </xf>
    <xf numFmtId="2" fontId="9" fillId="0" borderId="27" xfId="0" applyNumberFormat="1" applyFont="1" applyBorder="1" applyAlignment="1">
      <alignment horizontal="center"/>
    </xf>
    <xf numFmtId="2" fontId="9" fillId="0" borderId="18" xfId="0" applyNumberFormat="1" applyFont="1" applyBorder="1" applyAlignment="1">
      <alignment horizontal="center"/>
    </xf>
    <xf numFmtId="0" fontId="3" fillId="0" borderId="36" xfId="0" applyFont="1" applyBorder="1"/>
    <xf numFmtId="0" fontId="3" fillId="0" borderId="37" xfId="0" applyFont="1" applyBorder="1"/>
    <xf numFmtId="0" fontId="3" fillId="0" borderId="49" xfId="0" applyFont="1" applyBorder="1"/>
    <xf numFmtId="0" fontId="3" fillId="0" borderId="42" xfId="0" applyFont="1" applyBorder="1"/>
    <xf numFmtId="0" fontId="3" fillId="0" borderId="55" xfId="0" applyFont="1" applyBorder="1" applyAlignment="1">
      <alignment wrapText="1"/>
    </xf>
    <xf numFmtId="0" fontId="3" fillId="0" borderId="17" xfId="0" applyFont="1" applyBorder="1" applyAlignment="1">
      <alignment wrapText="1"/>
    </xf>
    <xf numFmtId="0" fontId="3" fillId="0" borderId="51" xfId="0" applyFont="1" applyBorder="1" applyAlignment="1">
      <alignment wrapText="1"/>
    </xf>
    <xf numFmtId="0" fontId="3" fillId="0" borderId="27" xfId="0" applyFont="1" applyBorder="1" applyAlignment="1">
      <alignment wrapText="1"/>
    </xf>
    <xf numFmtId="0" fontId="3" fillId="0" borderId="28" xfId="0" applyFont="1" applyBorder="1" applyAlignment="1">
      <alignment wrapText="1"/>
    </xf>
    <xf numFmtId="0" fontId="3" fillId="0" borderId="18" xfId="0" applyFont="1" applyBorder="1" applyAlignment="1">
      <alignment wrapText="1"/>
    </xf>
    <xf numFmtId="0" fontId="3" fillId="0" borderId="54" xfId="0" applyFont="1" applyBorder="1" applyAlignment="1">
      <alignment wrapText="1"/>
    </xf>
    <xf numFmtId="2" fontId="3" fillId="0" borderId="14" xfId="0" applyNumberFormat="1" applyFont="1" applyBorder="1" applyAlignment="1">
      <alignment horizontal="center" vertical="center" wrapText="1"/>
    </xf>
    <xf numFmtId="2" fontId="3" fillId="0" borderId="15" xfId="0" applyNumberFormat="1" applyFont="1" applyBorder="1" applyAlignment="1">
      <alignment horizontal="center" vertical="center" wrapText="1"/>
    </xf>
    <xf numFmtId="164" fontId="12" fillId="0" borderId="9" xfId="0" applyNumberFormat="1" applyFont="1" applyBorder="1" applyAlignment="1">
      <alignment horizontal="center" wrapText="1"/>
    </xf>
    <xf numFmtId="164" fontId="12" fillId="0" borderId="5" xfId="0" applyNumberFormat="1" applyFont="1" applyBorder="1" applyAlignment="1">
      <alignment horizontal="center" wrapText="1"/>
    </xf>
    <xf numFmtId="164" fontId="12" fillId="0" borderId="5" xfId="0" applyNumberFormat="1" applyFont="1" applyBorder="1" applyAlignment="1">
      <alignment horizontal="center" vertical="center" wrapText="1"/>
    </xf>
    <xf numFmtId="0" fontId="6" fillId="0" borderId="53" xfId="0" applyFont="1" applyBorder="1" applyAlignment="1">
      <alignment horizontal="left" vertical="center" wrapText="1"/>
    </xf>
    <xf numFmtId="2" fontId="6" fillId="0" borderId="18" xfId="0" applyNumberFormat="1" applyFont="1" applyBorder="1" applyAlignment="1">
      <alignment horizontal="center"/>
    </xf>
    <xf numFmtId="0" fontId="10" fillId="0" borderId="9" xfId="0" applyFont="1" applyBorder="1" applyAlignment="1">
      <alignment vertical="center" wrapText="1"/>
    </xf>
    <xf numFmtId="0" fontId="10" fillId="0" borderId="5" xfId="0" applyFont="1" applyBorder="1" applyAlignment="1">
      <alignment vertical="center" wrapText="1"/>
    </xf>
    <xf numFmtId="0" fontId="3" fillId="0" borderId="18" xfId="0" applyFont="1" applyBorder="1"/>
    <xf numFmtId="0" fontId="3" fillId="0" borderId="23" xfId="0" applyFont="1" applyBorder="1"/>
    <xf numFmtId="0" fontId="3" fillId="0" borderId="24" xfId="0" applyFont="1" applyBorder="1"/>
    <xf numFmtId="0" fontId="3" fillId="0" borderId="52" xfId="0" applyFont="1" applyBorder="1"/>
    <xf numFmtId="2" fontId="3" fillId="0" borderId="27" xfId="0" applyNumberFormat="1" applyFont="1" applyBorder="1" applyAlignment="1">
      <alignment horizontal="center"/>
    </xf>
    <xf numFmtId="2" fontId="3" fillId="0" borderId="18" xfId="0" applyNumberFormat="1" applyFont="1" applyBorder="1" applyAlignment="1">
      <alignment horizontal="center"/>
    </xf>
    <xf numFmtId="165" fontId="3" fillId="0" borderId="4" xfId="0" applyNumberFormat="1" applyFont="1" applyBorder="1" applyAlignment="1">
      <alignment horizontal="center" vertical="center"/>
    </xf>
    <xf numFmtId="165" fontId="3" fillId="0" borderId="14" xfId="0" applyNumberFormat="1" applyFont="1" applyBorder="1" applyAlignment="1">
      <alignment horizontal="center" vertical="center"/>
    </xf>
    <xf numFmtId="165" fontId="3" fillId="0" borderId="15" xfId="0" applyNumberFormat="1" applyFont="1" applyBorder="1" applyAlignment="1">
      <alignment horizontal="center" vertical="center"/>
    </xf>
    <xf numFmtId="165" fontId="3" fillId="0" borderId="7" xfId="0" applyNumberFormat="1" applyFont="1" applyBorder="1" applyAlignment="1">
      <alignment horizontal="center" vertical="center"/>
    </xf>
    <xf numFmtId="165" fontId="3" fillId="0" borderId="8" xfId="0" applyNumberFormat="1" applyFont="1" applyBorder="1" applyAlignment="1">
      <alignment horizontal="center" vertical="center"/>
    </xf>
    <xf numFmtId="164" fontId="5" fillId="0" borderId="5" xfId="0" applyNumberFormat="1" applyFont="1" applyBorder="1" applyAlignment="1">
      <alignment horizontal="center" vertical="center" wrapText="1"/>
    </xf>
    <xf numFmtId="0" fontId="3" fillId="0" borderId="25" xfId="0" applyFont="1" applyBorder="1" applyAlignment="1">
      <alignment wrapText="1"/>
    </xf>
    <xf numFmtId="0" fontId="3" fillId="0" borderId="26" xfId="0" applyFont="1" applyBorder="1" applyAlignment="1">
      <alignment wrapText="1"/>
    </xf>
    <xf numFmtId="0" fontId="3" fillId="0" borderId="42" xfId="0" applyFont="1" applyBorder="1" applyAlignment="1">
      <alignment wrapText="1"/>
    </xf>
    <xf numFmtId="0" fontId="9" fillId="0" borderId="17" xfId="0" applyFont="1" applyBorder="1" applyAlignment="1">
      <alignment wrapText="1"/>
    </xf>
    <xf numFmtId="0" fontId="9" fillId="0" borderId="51" xfId="0" applyFont="1" applyBorder="1" applyAlignment="1">
      <alignment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5" xfId="0" applyFont="1" applyBorder="1" applyAlignment="1">
      <alignment horizontal="center" vertical="center" wrapText="1"/>
    </xf>
    <xf numFmtId="0" fontId="4" fillId="0" borderId="5" xfId="0" applyFont="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7" xfId="0" applyFont="1" applyBorder="1" applyAlignment="1">
      <alignment horizontal="left" vertical="center" wrapText="1"/>
    </xf>
    <xf numFmtId="0" fontId="6" fillId="0" borderId="6" xfId="0" applyFont="1" applyBorder="1" applyAlignment="1">
      <alignment horizontal="left" vertical="center" wrapText="1"/>
    </xf>
    <xf numFmtId="0" fontId="6" fillId="0" borderId="8" xfId="0" applyFont="1" applyBorder="1" applyAlignment="1">
      <alignment horizontal="left" vertical="center" wrapText="1"/>
    </xf>
    <xf numFmtId="2" fontId="4" fillId="0" borderId="3" xfId="0" applyNumberFormat="1" applyFont="1" applyBorder="1" applyAlignment="1">
      <alignment horizontal="center" vertical="center" wrapText="1"/>
    </xf>
    <xf numFmtId="2" fontId="4" fillId="0" borderId="2" xfId="0" applyNumberFormat="1" applyFont="1" applyBorder="1" applyAlignment="1">
      <alignment horizontal="center" vertical="center" wrapText="1"/>
    </xf>
    <xf numFmtId="2" fontId="4" fillId="0" borderId="4" xfId="0" applyNumberFormat="1" applyFont="1" applyBorder="1" applyAlignment="1">
      <alignment horizontal="center" vertical="center" wrapText="1"/>
    </xf>
    <xf numFmtId="2" fontId="4" fillId="0" borderId="7" xfId="0" applyNumberFormat="1" applyFont="1" applyBorder="1" applyAlignment="1">
      <alignment horizontal="center" vertical="center" wrapText="1"/>
    </xf>
    <xf numFmtId="2" fontId="4" fillId="0" borderId="6"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7" fillId="0" borderId="0" xfId="0" applyFont="1" applyAlignment="1">
      <alignment horizontal="left" vertical="center" wrapText="1"/>
    </xf>
    <xf numFmtId="0" fontId="1" fillId="0" borderId="0" xfId="0" applyFont="1" applyAlignment="1">
      <alignment horizontal="center" vertical="center" wrapText="1"/>
    </xf>
    <xf numFmtId="2" fontId="5" fillId="0" borderId="27" xfId="0" applyNumberFormat="1" applyFont="1" applyBorder="1" applyAlignment="1">
      <alignment horizontal="center" vertical="center"/>
    </xf>
    <xf numFmtId="2" fontId="0" fillId="0" borderId="18" xfId="0" applyNumberFormat="1" applyBorder="1" applyAlignment="1">
      <alignment horizontal="center" vertical="center"/>
    </xf>
    <xf numFmtId="2" fontId="0" fillId="0" borderId="4" xfId="0" applyNumberFormat="1" applyBorder="1" applyAlignment="1">
      <alignment vertical="center" wrapText="1"/>
    </xf>
    <xf numFmtId="2" fontId="0" fillId="0" borderId="14" xfId="0" applyNumberFormat="1" applyBorder="1" applyAlignment="1">
      <alignment vertical="center" wrapText="1"/>
    </xf>
    <xf numFmtId="2" fontId="0" fillId="0" borderId="15" xfId="0" applyNumberFormat="1" applyBorder="1" applyAlignment="1">
      <alignment vertical="center" wrapText="1"/>
    </xf>
    <xf numFmtId="2" fontId="0" fillId="0" borderId="7" xfId="0" applyNumberFormat="1" applyBorder="1" applyAlignment="1">
      <alignment vertical="center"/>
    </xf>
    <xf numFmtId="2" fontId="0" fillId="0" borderId="8" xfId="0" applyNumberFormat="1" applyBorder="1" applyAlignment="1">
      <alignment vertical="center"/>
    </xf>
    <xf numFmtId="2" fontId="3" fillId="0" borderId="3" xfId="0" applyNumberFormat="1" applyFont="1" applyBorder="1" applyAlignment="1">
      <alignment horizontal="center" vertical="center"/>
    </xf>
    <xf numFmtId="2" fontId="0" fillId="0" borderId="4" xfId="0" applyNumberFormat="1" applyBorder="1" applyAlignment="1">
      <alignment horizontal="center" vertical="center"/>
    </xf>
    <xf numFmtId="2" fontId="0" fillId="0" borderId="14" xfId="0" applyNumberFormat="1" applyBorder="1" applyAlignment="1">
      <alignment horizontal="center" vertical="center"/>
    </xf>
    <xf numFmtId="2" fontId="0" fillId="0" borderId="15" xfId="0" applyNumberFormat="1" applyBorder="1" applyAlignment="1">
      <alignment horizontal="center" vertical="center"/>
    </xf>
    <xf numFmtId="2" fontId="0" fillId="0" borderId="7" xfId="0" applyNumberFormat="1" applyBorder="1" applyAlignment="1">
      <alignment horizontal="center" vertical="center"/>
    </xf>
    <xf numFmtId="2" fontId="0" fillId="0" borderId="8" xfId="0" applyNumberFormat="1" applyBorder="1" applyAlignment="1">
      <alignment horizontal="center" vertical="center"/>
    </xf>
    <xf numFmtId="2" fontId="4" fillId="0" borderId="27" xfId="0" applyNumberFormat="1" applyFont="1" applyBorder="1" applyAlignment="1">
      <alignment horizontal="center" vertical="center" wrapText="1"/>
    </xf>
    <xf numFmtId="2" fontId="17" fillId="0" borderId="28" xfId="0" applyNumberFormat="1" applyFont="1" applyBorder="1" applyAlignment="1">
      <alignment horizontal="center" vertical="center" wrapText="1"/>
    </xf>
    <xf numFmtId="2" fontId="17" fillId="0" borderId="18" xfId="0" applyNumberFormat="1" applyFont="1" applyBorder="1" applyAlignment="1">
      <alignment horizontal="center" vertical="center" wrapText="1"/>
    </xf>
    <xf numFmtId="2" fontId="17" fillId="0" borderId="28" xfId="0" applyNumberFormat="1" applyFont="1" applyBorder="1" applyAlignment="1">
      <alignment horizontal="center" vertical="center"/>
    </xf>
    <xf numFmtId="164" fontId="20" fillId="0" borderId="1" xfId="0" applyNumberFormat="1" applyFont="1" applyBorder="1" applyAlignment="1">
      <alignment horizontal="center" wrapText="1"/>
    </xf>
    <xf numFmtId="0" fontId="21" fillId="0" borderId="9" xfId="0" applyFont="1" applyBorder="1" applyAlignment="1">
      <alignment wrapText="1"/>
    </xf>
    <xf numFmtId="0" fontId="21" fillId="0" borderId="5" xfId="0" applyFont="1" applyBorder="1" applyAlignment="1">
      <alignment wrapText="1"/>
    </xf>
    <xf numFmtId="0" fontId="16" fillId="0" borderId="2" xfId="0" applyFont="1" applyBorder="1" applyAlignment="1">
      <alignment wrapText="1"/>
    </xf>
    <xf numFmtId="0" fontId="17" fillId="0" borderId="0" xfId="0" applyFont="1" applyAlignment="1">
      <alignment wrapText="1"/>
    </xf>
    <xf numFmtId="2" fontId="8" fillId="0" borderId="2" xfId="0" applyNumberFormat="1" applyFont="1" applyBorder="1" applyAlignment="1">
      <alignment horizontal="center" vertical="center" wrapText="1"/>
    </xf>
    <xf numFmtId="2" fontId="8" fillId="0" borderId="7" xfId="0" applyNumberFormat="1" applyFont="1" applyBorder="1" applyAlignment="1">
      <alignment horizontal="center" vertical="center" wrapText="1"/>
    </xf>
    <xf numFmtId="2" fontId="8" fillId="0" borderId="6" xfId="0" applyNumberFormat="1" applyFont="1" applyBorder="1" applyAlignment="1">
      <alignment horizontal="center" vertical="center" wrapText="1"/>
    </xf>
    <xf numFmtId="0" fontId="5" fillId="0" borderId="27" xfId="0" applyFont="1" applyBorder="1" applyAlignment="1">
      <alignment horizontal="center" vertical="center"/>
    </xf>
    <xf numFmtId="0" fontId="5" fillId="0" borderId="28" xfId="0" applyFont="1" applyBorder="1" applyAlignment="1">
      <alignment horizontal="center" vertical="center"/>
    </xf>
    <xf numFmtId="0" fontId="5" fillId="0" borderId="18" xfId="0" applyFont="1" applyBorder="1" applyAlignment="1">
      <alignment horizontal="center" vertical="center"/>
    </xf>
    <xf numFmtId="0" fontId="16" fillId="0" borderId="2" xfId="0" applyFont="1" applyBorder="1" applyAlignment="1">
      <alignment horizontal="left" wrapText="1"/>
    </xf>
    <xf numFmtId="164" fontId="4" fillId="0" borderId="27" xfId="0" applyNumberFormat="1" applyFont="1" applyBorder="1" applyAlignment="1">
      <alignment horizontal="center" vertical="center" wrapText="1"/>
    </xf>
    <xf numFmtId="0" fontId="5" fillId="0" borderId="28" xfId="0" applyFont="1" applyBorder="1" applyAlignment="1">
      <alignment horizontal="center" vertical="center" wrapText="1"/>
    </xf>
    <xf numFmtId="0" fontId="5" fillId="0" borderId="18" xfId="0" applyFont="1" applyBorder="1" applyAlignment="1">
      <alignment horizontal="center" vertical="center" wrapText="1"/>
    </xf>
    <xf numFmtId="0" fontId="16" fillId="0" borderId="2" xfId="0" applyFont="1" applyBorder="1" applyAlignment="1">
      <alignment horizontal="left"/>
    </xf>
    <xf numFmtId="0" fontId="16" fillId="0" borderId="2" xfId="0" applyFont="1" applyBorder="1" applyAlignment="1">
      <alignment horizontal="center"/>
    </xf>
    <xf numFmtId="0" fontId="16" fillId="0" borderId="0" xfId="0" applyFont="1" applyAlignment="1">
      <alignment horizontal="left" wrapText="1"/>
    </xf>
    <xf numFmtId="164" fontId="10" fillId="0" borderId="1" xfId="0" applyNumberFormat="1" applyFont="1" applyBorder="1" applyAlignment="1">
      <alignment horizontal="center" wrapText="1"/>
    </xf>
    <xf numFmtId="0" fontId="11" fillId="0" borderId="9" xfId="0" applyFont="1" applyBorder="1" applyAlignment="1">
      <alignment wrapText="1"/>
    </xf>
    <xf numFmtId="0" fontId="11" fillId="0" borderId="5" xfId="0" applyFont="1" applyBorder="1" applyAlignment="1">
      <alignment wrapText="1"/>
    </xf>
    <xf numFmtId="164" fontId="5" fillId="0" borderId="1" xfId="0" applyNumberFormat="1" applyFont="1" applyBorder="1" applyAlignment="1">
      <alignment horizontal="center" wrapText="1"/>
    </xf>
    <xf numFmtId="0" fontId="0" fillId="0" borderId="9" xfId="0" applyBorder="1" applyAlignment="1">
      <alignment wrapText="1"/>
    </xf>
    <xf numFmtId="0" fontId="0" fillId="0" borderId="5" xfId="0" applyBorder="1" applyAlignment="1">
      <alignment wrapText="1"/>
    </xf>
    <xf numFmtId="0" fontId="17" fillId="0" borderId="2" xfId="0" applyFont="1" applyBorder="1" applyAlignment="1">
      <alignment horizontal="center" wrapText="1"/>
    </xf>
    <xf numFmtId="164" fontId="10" fillId="2" borderId="1" xfId="0" applyNumberFormat="1" applyFont="1" applyFill="1" applyBorder="1" applyAlignment="1">
      <alignment horizontal="center" wrapText="1"/>
    </xf>
    <xf numFmtId="0" fontId="11" fillId="2" borderId="9" xfId="0" applyFont="1" applyFill="1" applyBorder="1" applyAlignment="1">
      <alignment wrapText="1"/>
    </xf>
    <xf numFmtId="0" fontId="11" fillId="2" borderId="5" xfId="0" applyFont="1" applyFill="1" applyBorder="1" applyAlignment="1">
      <alignment wrapText="1"/>
    </xf>
    <xf numFmtId="0" fontId="5" fillId="0" borderId="2" xfId="0" applyFont="1" applyBorder="1" applyAlignment="1">
      <alignment wrapText="1"/>
    </xf>
    <xf numFmtId="0" fontId="5" fillId="0" borderId="2" xfId="0" applyFont="1" applyBorder="1" applyAlignment="1">
      <alignment horizontal="center" wrapText="1"/>
    </xf>
    <xf numFmtId="0" fontId="5" fillId="0" borderId="2" xfId="0" applyFont="1" applyBorder="1"/>
    <xf numFmtId="0" fontId="23" fillId="0" borderId="2" xfId="0" applyFont="1" applyBorder="1" applyAlignment="1">
      <alignment horizontal="center"/>
    </xf>
    <xf numFmtId="0" fontId="19" fillId="0" borderId="2" xfId="0" applyFont="1" applyBorder="1" applyAlignment="1">
      <alignment horizontal="center"/>
    </xf>
    <xf numFmtId="0" fontId="17" fillId="0" borderId="2" xfId="0" applyFont="1" applyBorder="1" applyAlignment="1">
      <alignment horizontal="center"/>
    </xf>
    <xf numFmtId="165" fontId="5" fillId="0" borderId="27" xfId="0" applyNumberFormat="1" applyFont="1" applyBorder="1" applyAlignment="1">
      <alignment horizontal="center" vertical="center"/>
    </xf>
    <xf numFmtId="165" fontId="5" fillId="0" borderId="28" xfId="0" applyNumberFormat="1" applyFont="1" applyBorder="1" applyAlignment="1">
      <alignment horizontal="center" vertical="center"/>
    </xf>
    <xf numFmtId="165" fontId="5" fillId="0" borderId="18" xfId="0" applyNumberFormat="1" applyFont="1" applyBorder="1" applyAlignment="1">
      <alignment horizontal="center" vertical="center"/>
    </xf>
    <xf numFmtId="2" fontId="5" fillId="0" borderId="28" xfId="0" applyNumberFormat="1" applyFont="1" applyBorder="1" applyAlignment="1">
      <alignment horizontal="center" vertical="center"/>
    </xf>
    <xf numFmtId="2" fontId="5" fillId="0" borderId="18" xfId="0" applyNumberFormat="1" applyFont="1" applyBorder="1" applyAlignment="1">
      <alignment horizontal="center" vertical="center"/>
    </xf>
    <xf numFmtId="0" fontId="16" fillId="0" borderId="0" xfId="0" applyFont="1" applyAlignment="1">
      <alignment horizontal="center" wrapText="1"/>
    </xf>
    <xf numFmtId="0" fontId="16" fillId="0" borderId="0" xfId="0" applyFont="1" applyAlignment="1">
      <alignment horizontal="left" vertical="top" wrapText="1"/>
    </xf>
    <xf numFmtId="164" fontId="12" fillId="0" borderId="1" xfId="0" applyNumberFormat="1" applyFont="1" applyBorder="1" applyAlignment="1">
      <alignment horizontal="left" wrapText="1"/>
    </xf>
    <xf numFmtId="0" fontId="13" fillId="0" borderId="9" xfId="0" applyFont="1" applyBorder="1" applyAlignment="1">
      <alignment horizontal="left" wrapText="1"/>
    </xf>
    <xf numFmtId="0" fontId="13" fillId="0" borderId="5" xfId="0" applyFont="1" applyBorder="1" applyAlignment="1">
      <alignment horizontal="left"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16" fillId="0" borderId="49" xfId="0" applyFont="1" applyBorder="1" applyAlignment="1">
      <alignment horizontal="left" vertical="top" wrapText="1"/>
    </xf>
    <xf numFmtId="0" fontId="16" fillId="0" borderId="26" xfId="0" applyFont="1" applyBorder="1" applyAlignment="1">
      <alignment horizontal="left" vertical="top" wrapText="1"/>
    </xf>
    <xf numFmtId="0" fontId="16" fillId="0" borderId="50" xfId="0" applyFont="1" applyBorder="1" applyAlignment="1">
      <alignment horizontal="left" vertical="top" wrapText="1"/>
    </xf>
    <xf numFmtId="0" fontId="16" fillId="0" borderId="47" xfId="0" applyFont="1" applyBorder="1" applyAlignment="1">
      <alignment horizontal="left" vertical="top" wrapText="1"/>
    </xf>
    <xf numFmtId="0" fontId="16" fillId="0" borderId="47" xfId="0" applyFont="1" applyBorder="1" applyAlignment="1">
      <alignment horizontal="center" vertical="center" wrapText="1"/>
    </xf>
    <xf numFmtId="0" fontId="16" fillId="0" borderId="39" xfId="0" applyFont="1" applyBorder="1" applyAlignment="1">
      <alignment horizontal="left" vertical="top" wrapText="1"/>
    </xf>
    <xf numFmtId="0" fontId="16" fillId="0" borderId="48" xfId="0" applyFont="1" applyBorder="1" applyAlignment="1">
      <alignment horizontal="left" vertical="top" wrapText="1"/>
    </xf>
    <xf numFmtId="0" fontId="17" fillId="0" borderId="0" xfId="0" applyFont="1" applyAlignment="1">
      <alignment horizontal="center" wrapText="1"/>
    </xf>
    <xf numFmtId="0" fontId="16" fillId="0" borderId="0" xfId="0" applyFont="1" applyAlignment="1">
      <alignment horizontal="left" vertical="center" wrapText="1"/>
    </xf>
    <xf numFmtId="165" fontId="5" fillId="0" borderId="3" xfId="0" applyNumberFormat="1" applyFont="1" applyBorder="1" applyAlignment="1">
      <alignment horizontal="center" vertical="center"/>
    </xf>
    <xf numFmtId="165" fontId="5" fillId="0" borderId="2" xfId="0" applyNumberFormat="1" applyFont="1" applyBorder="1" applyAlignment="1">
      <alignment horizontal="center" vertical="center"/>
    </xf>
    <xf numFmtId="165" fontId="5" fillId="0" borderId="4" xfId="0" applyNumberFormat="1" applyFont="1" applyBorder="1" applyAlignment="1">
      <alignment horizontal="center" vertical="center"/>
    </xf>
    <xf numFmtId="0" fontId="16" fillId="0" borderId="39" xfId="0" applyFont="1" applyBorder="1" applyAlignment="1">
      <alignment horizontal="center" vertical="center" wrapText="1"/>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18" xfId="0" applyFont="1" applyBorder="1" applyAlignment="1">
      <alignment horizontal="center" vertical="center"/>
    </xf>
    <xf numFmtId="164" fontId="1" fillId="0" borderId="1" xfId="0" applyNumberFormat="1" applyFont="1" applyBorder="1" applyAlignment="1">
      <alignment horizontal="center" wrapText="1"/>
    </xf>
    <xf numFmtId="0" fontId="24" fillId="0" borderId="9" xfId="0" applyFont="1" applyBorder="1" applyAlignment="1">
      <alignment wrapText="1"/>
    </xf>
    <xf numFmtId="0" fontId="24" fillId="0" borderId="5" xfId="0" applyFont="1" applyBorder="1" applyAlignment="1">
      <alignment wrapText="1"/>
    </xf>
    <xf numFmtId="0" fontId="22" fillId="0" borderId="2" xfId="0" applyFont="1" applyBorder="1" applyAlignment="1">
      <alignment horizontal="center" wrapText="1"/>
    </xf>
    <xf numFmtId="0" fontId="0" fillId="0" borderId="0" xfId="0" applyAlignment="1">
      <alignment wrapText="1"/>
    </xf>
    <xf numFmtId="0" fontId="16" fillId="0" borderId="39" xfId="0" applyFont="1" applyBorder="1" applyAlignment="1">
      <alignment horizont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64" fontId="25" fillId="0" borderId="1" xfId="0" applyNumberFormat="1" applyFont="1" applyBorder="1" applyAlignment="1">
      <alignment horizontal="center" wrapText="1"/>
    </xf>
    <xf numFmtId="0" fontId="26" fillId="0" borderId="9" xfId="0" applyFont="1" applyBorder="1" applyAlignment="1">
      <alignment wrapText="1"/>
    </xf>
    <xf numFmtId="0" fontId="26" fillId="0" borderId="5" xfId="0" applyFont="1" applyBorder="1" applyAlignment="1">
      <alignment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ocuments/&#1053;&#1086;&#1074;&#1110;%20&#1079;&#1072;&#1082;&#1086;&#1085;&#1080;/&#1056;&#1040;&#1057;&#1063;&#1045;&#1058;&#1067;_2019/&#1088;&#1086;&#1079;&#1088;&#1072;&#1093;_&#1091;&#1087;&#1088;&#1072;&#1074;&#1083;&#1110;&#1085;&#8470;1%20&#1085;&#1072;%202018%20&#1075;&#1086;&#1076;_&#1084;&#1110;&#1085;417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ЄАДС_Ел.уч"/>
      <sheetName val="вхідні_дані"/>
      <sheetName val="Лист1"/>
      <sheetName val="Ж-2,4"/>
      <sheetName val="Ж-2,3"/>
      <sheetName val="Ж-1"/>
      <sheetName val="Ж-3"/>
      <sheetName val="Ж-3.1"/>
      <sheetName val="Ж-4,2"/>
      <sheetName val="Ж-3, Ж-4"/>
      <sheetName val="Ж-2"/>
      <sheetName val="ж-2.2"/>
      <sheetName val="Ж2,1"/>
      <sheetName val="Д1-13н"/>
      <sheetName val="д.1-13"/>
      <sheetName val="Д14-26н"/>
      <sheetName val="д.14-26"/>
      <sheetName val="Д27-38н"/>
      <sheetName val="д.27-38"/>
      <sheetName val="Д39-51н"/>
      <sheetName val="д.39-51"/>
      <sheetName val="Д52-65н"/>
      <sheetName val="дод.52-65"/>
      <sheetName val="Д66-79н"/>
      <sheetName val="д.66-79"/>
      <sheetName val="Д80-93н"/>
      <sheetName val="Д94-107н"/>
      <sheetName val="Д108-121н"/>
      <sheetName val="Д122-135н"/>
      <sheetName val="Данч10"/>
      <sheetName val="Олекс.22"/>
      <sheetName val="дод80-89"/>
      <sheetName val="Д90-93"/>
      <sheetName val="д.94-105"/>
      <sheetName val="д.106-117"/>
      <sheetName val="Д118-131"/>
      <sheetName val="розрах_управлін№1 на 2018 год_м"/>
    </sheetNames>
    <sheetDataSet>
      <sheetData sheetId="0" refreshError="1"/>
      <sheetData sheetId="1" refreshError="1"/>
      <sheetData sheetId="2" refreshError="1"/>
      <sheetData sheetId="3" refreshError="1"/>
      <sheetData sheetId="4" refreshError="1">
        <row r="9">
          <cell r="D9">
            <v>6045.4</v>
          </cell>
          <cell r="F9">
            <v>4896.3</v>
          </cell>
          <cell r="G9">
            <v>14583.6</v>
          </cell>
          <cell r="H9">
            <v>3891.3</v>
          </cell>
          <cell r="J9">
            <v>10751.1</v>
          </cell>
          <cell r="K9">
            <v>3191.6</v>
          </cell>
          <cell r="L9">
            <v>4583.8</v>
          </cell>
          <cell r="M9">
            <v>2578.8000000000002</v>
          </cell>
          <cell r="N9">
            <v>7266.5</v>
          </cell>
          <cell r="O9">
            <v>14731.1</v>
          </cell>
          <cell r="P9">
            <v>7030</v>
          </cell>
        </row>
      </sheetData>
      <sheetData sheetId="5" refreshError="1"/>
      <sheetData sheetId="6" refreshError="1"/>
      <sheetData sheetId="7" refreshError="1"/>
      <sheetData sheetId="8" refreshError="1"/>
      <sheetData sheetId="9" refreshError="1"/>
      <sheetData sheetId="10" refreshError="1">
        <row r="9">
          <cell r="D9">
            <v>4629.3999999999996</v>
          </cell>
          <cell r="E9">
            <v>6225.2</v>
          </cell>
          <cell r="F9">
            <v>6160.9</v>
          </cell>
          <cell r="G9">
            <v>3868</v>
          </cell>
          <cell r="H9">
            <v>6216.6</v>
          </cell>
          <cell r="I9">
            <v>6118.1</v>
          </cell>
          <cell r="J9">
            <v>4003</v>
          </cell>
          <cell r="K9">
            <v>6147</v>
          </cell>
          <cell r="L9">
            <v>6180.1</v>
          </cell>
          <cell r="M9">
            <v>4646.1000000000004</v>
          </cell>
          <cell r="N9">
            <v>2236.4</v>
          </cell>
          <cell r="O9">
            <v>2151.8000000000002</v>
          </cell>
          <cell r="Q9">
            <v>7726.2</v>
          </cell>
        </row>
      </sheetData>
      <sheetData sheetId="11" refreshError="1">
        <row r="9">
          <cell r="E9">
            <v>2555.6999999999998</v>
          </cell>
          <cell r="F9">
            <v>4278.1000000000004</v>
          </cell>
          <cell r="G9">
            <v>4426.8999999999996</v>
          </cell>
          <cell r="H9">
            <v>3278.7</v>
          </cell>
          <cell r="I9">
            <v>3204</v>
          </cell>
          <cell r="J9">
            <v>3006.5</v>
          </cell>
          <cell r="K9">
            <v>4381.8999999999996</v>
          </cell>
          <cell r="L9">
            <v>4585.5</v>
          </cell>
          <cell r="O9">
            <v>4527.5</v>
          </cell>
          <cell r="P9">
            <v>6179.1</v>
          </cell>
          <cell r="Q9">
            <v>6148.1</v>
          </cell>
          <cell r="R9">
            <v>5317.8</v>
          </cell>
        </row>
      </sheetData>
      <sheetData sheetId="12" refreshError="1">
        <row r="9">
          <cell r="D9">
            <v>4628</v>
          </cell>
          <cell r="E9">
            <v>4429.8999999999996</v>
          </cell>
          <cell r="F9">
            <v>4438.5</v>
          </cell>
          <cell r="G9">
            <v>3118.5</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3"/>
  <sheetViews>
    <sheetView tabSelected="1" workbookViewId="0">
      <selection activeCell="H60" sqref="H60"/>
    </sheetView>
  </sheetViews>
  <sheetFormatPr defaultRowHeight="15.75" x14ac:dyDescent="0.25"/>
  <cols>
    <col min="1" max="1" width="14.28515625" style="1" customWidth="1"/>
    <col min="2" max="2" width="10.85546875" style="1" customWidth="1"/>
    <col min="3" max="3" width="9.140625" style="1"/>
    <col min="4" max="4" width="10" style="1" customWidth="1"/>
    <col min="5" max="5" width="15.140625" style="1" customWidth="1"/>
    <col min="6" max="6" width="11.140625" style="1" customWidth="1"/>
    <col min="7" max="259" width="9.140625" style="1"/>
    <col min="260" max="260" width="10" style="1" customWidth="1"/>
    <col min="261" max="261" width="9.140625" style="1"/>
    <col min="262" max="262" width="11.140625" style="1" customWidth="1"/>
    <col min="263" max="515" width="9.140625" style="1"/>
    <col min="516" max="516" width="10" style="1" customWidth="1"/>
    <col min="517" max="517" width="9.140625" style="1"/>
    <col min="518" max="518" width="11.140625" style="1" customWidth="1"/>
    <col min="519" max="771" width="9.140625" style="1"/>
    <col min="772" max="772" width="10" style="1" customWidth="1"/>
    <col min="773" max="773" width="9.140625" style="1"/>
    <col min="774" max="774" width="11.140625" style="1" customWidth="1"/>
    <col min="775" max="1027" width="9.140625" style="1"/>
    <col min="1028" max="1028" width="10" style="1" customWidth="1"/>
    <col min="1029" max="1029" width="9.140625" style="1"/>
    <col min="1030" max="1030" width="11.140625" style="1" customWidth="1"/>
    <col min="1031" max="1283" width="9.140625" style="1"/>
    <col min="1284" max="1284" width="10" style="1" customWidth="1"/>
    <col min="1285" max="1285" width="9.140625" style="1"/>
    <col min="1286" max="1286" width="11.140625" style="1" customWidth="1"/>
    <col min="1287" max="1539" width="9.140625" style="1"/>
    <col min="1540" max="1540" width="10" style="1" customWidth="1"/>
    <col min="1541" max="1541" width="9.140625" style="1"/>
    <col min="1542" max="1542" width="11.140625" style="1" customWidth="1"/>
    <col min="1543" max="1795" width="9.140625" style="1"/>
    <col min="1796" max="1796" width="10" style="1" customWidth="1"/>
    <col min="1797" max="1797" width="9.140625" style="1"/>
    <col min="1798" max="1798" width="11.140625" style="1" customWidth="1"/>
    <col min="1799" max="2051" width="9.140625" style="1"/>
    <col min="2052" max="2052" width="10" style="1" customWidth="1"/>
    <col min="2053" max="2053" width="9.140625" style="1"/>
    <col min="2054" max="2054" width="11.140625" style="1" customWidth="1"/>
    <col min="2055" max="2307" width="9.140625" style="1"/>
    <col min="2308" max="2308" width="10" style="1" customWidth="1"/>
    <col min="2309" max="2309" width="9.140625" style="1"/>
    <col min="2310" max="2310" width="11.140625" style="1" customWidth="1"/>
    <col min="2311" max="2563" width="9.140625" style="1"/>
    <col min="2564" max="2564" width="10" style="1" customWidth="1"/>
    <col min="2565" max="2565" width="9.140625" style="1"/>
    <col min="2566" max="2566" width="11.140625" style="1" customWidth="1"/>
    <col min="2567" max="2819" width="9.140625" style="1"/>
    <col min="2820" max="2820" width="10" style="1" customWidth="1"/>
    <col min="2821" max="2821" width="9.140625" style="1"/>
    <col min="2822" max="2822" width="11.140625" style="1" customWidth="1"/>
    <col min="2823" max="3075" width="9.140625" style="1"/>
    <col min="3076" max="3076" width="10" style="1" customWidth="1"/>
    <col min="3077" max="3077" width="9.140625" style="1"/>
    <col min="3078" max="3078" width="11.140625" style="1" customWidth="1"/>
    <col min="3079" max="3331" width="9.140625" style="1"/>
    <col min="3332" max="3332" width="10" style="1" customWidth="1"/>
    <col min="3333" max="3333" width="9.140625" style="1"/>
    <col min="3334" max="3334" width="11.140625" style="1" customWidth="1"/>
    <col min="3335" max="3587" width="9.140625" style="1"/>
    <col min="3588" max="3588" width="10" style="1" customWidth="1"/>
    <col min="3589" max="3589" width="9.140625" style="1"/>
    <col min="3590" max="3590" width="11.140625" style="1" customWidth="1"/>
    <col min="3591" max="3843" width="9.140625" style="1"/>
    <col min="3844" max="3844" width="10" style="1" customWidth="1"/>
    <col min="3845" max="3845" width="9.140625" style="1"/>
    <col min="3846" max="3846" width="11.140625" style="1" customWidth="1"/>
    <col min="3847" max="4099" width="9.140625" style="1"/>
    <col min="4100" max="4100" width="10" style="1" customWidth="1"/>
    <col min="4101" max="4101" width="9.140625" style="1"/>
    <col min="4102" max="4102" width="11.140625" style="1" customWidth="1"/>
    <col min="4103" max="4355" width="9.140625" style="1"/>
    <col min="4356" max="4356" width="10" style="1" customWidth="1"/>
    <col min="4357" max="4357" width="9.140625" style="1"/>
    <col min="4358" max="4358" width="11.140625" style="1" customWidth="1"/>
    <col min="4359" max="4611" width="9.140625" style="1"/>
    <col min="4612" max="4612" width="10" style="1" customWidth="1"/>
    <col min="4613" max="4613" width="9.140625" style="1"/>
    <col min="4614" max="4614" width="11.140625" style="1" customWidth="1"/>
    <col min="4615" max="4867" width="9.140625" style="1"/>
    <col min="4868" max="4868" width="10" style="1" customWidth="1"/>
    <col min="4869" max="4869" width="9.140625" style="1"/>
    <col min="4870" max="4870" width="11.140625" style="1" customWidth="1"/>
    <col min="4871" max="5123" width="9.140625" style="1"/>
    <col min="5124" max="5124" width="10" style="1" customWidth="1"/>
    <col min="5125" max="5125" width="9.140625" style="1"/>
    <col min="5126" max="5126" width="11.140625" style="1" customWidth="1"/>
    <col min="5127" max="5379" width="9.140625" style="1"/>
    <col min="5380" max="5380" width="10" style="1" customWidth="1"/>
    <col min="5381" max="5381" width="9.140625" style="1"/>
    <col min="5382" max="5382" width="11.140625" style="1" customWidth="1"/>
    <col min="5383" max="5635" width="9.140625" style="1"/>
    <col min="5636" max="5636" width="10" style="1" customWidth="1"/>
    <col min="5637" max="5637" width="9.140625" style="1"/>
    <col min="5638" max="5638" width="11.140625" style="1" customWidth="1"/>
    <col min="5639" max="5891" width="9.140625" style="1"/>
    <col min="5892" max="5892" width="10" style="1" customWidth="1"/>
    <col min="5893" max="5893" width="9.140625" style="1"/>
    <col min="5894" max="5894" width="11.140625" style="1" customWidth="1"/>
    <col min="5895" max="6147" width="9.140625" style="1"/>
    <col min="6148" max="6148" width="10" style="1" customWidth="1"/>
    <col min="6149" max="6149" width="9.140625" style="1"/>
    <col min="6150" max="6150" width="11.140625" style="1" customWidth="1"/>
    <col min="6151" max="6403" width="9.140625" style="1"/>
    <col min="6404" max="6404" width="10" style="1" customWidth="1"/>
    <col min="6405" max="6405" width="9.140625" style="1"/>
    <col min="6406" max="6406" width="11.140625" style="1" customWidth="1"/>
    <col min="6407" max="6659" width="9.140625" style="1"/>
    <col min="6660" max="6660" width="10" style="1" customWidth="1"/>
    <col min="6661" max="6661" width="9.140625" style="1"/>
    <col min="6662" max="6662" width="11.140625" style="1" customWidth="1"/>
    <col min="6663" max="6915" width="9.140625" style="1"/>
    <col min="6916" max="6916" width="10" style="1" customWidth="1"/>
    <col min="6917" max="6917" width="9.140625" style="1"/>
    <col min="6918" max="6918" width="11.140625" style="1" customWidth="1"/>
    <col min="6919" max="7171" width="9.140625" style="1"/>
    <col min="7172" max="7172" width="10" style="1" customWidth="1"/>
    <col min="7173" max="7173" width="9.140625" style="1"/>
    <col min="7174" max="7174" width="11.140625" style="1" customWidth="1"/>
    <col min="7175" max="7427" width="9.140625" style="1"/>
    <col min="7428" max="7428" width="10" style="1" customWidth="1"/>
    <col min="7429" max="7429" width="9.140625" style="1"/>
    <col min="7430" max="7430" width="11.140625" style="1" customWidth="1"/>
    <col min="7431" max="7683" width="9.140625" style="1"/>
    <col min="7684" max="7684" width="10" style="1" customWidth="1"/>
    <col min="7685" max="7685" width="9.140625" style="1"/>
    <col min="7686" max="7686" width="11.140625" style="1" customWidth="1"/>
    <col min="7687" max="7939" width="9.140625" style="1"/>
    <col min="7940" max="7940" width="10" style="1" customWidth="1"/>
    <col min="7941" max="7941" width="9.140625" style="1"/>
    <col min="7942" max="7942" width="11.140625" style="1" customWidth="1"/>
    <col min="7943" max="8195" width="9.140625" style="1"/>
    <col min="8196" max="8196" width="10" style="1" customWidth="1"/>
    <col min="8197" max="8197" width="9.140625" style="1"/>
    <col min="8198" max="8198" width="11.140625" style="1" customWidth="1"/>
    <col min="8199" max="8451" width="9.140625" style="1"/>
    <col min="8452" max="8452" width="10" style="1" customWidth="1"/>
    <col min="8453" max="8453" width="9.140625" style="1"/>
    <col min="8454" max="8454" width="11.140625" style="1" customWidth="1"/>
    <col min="8455" max="8707" width="9.140625" style="1"/>
    <col min="8708" max="8708" width="10" style="1" customWidth="1"/>
    <col min="8709" max="8709" width="9.140625" style="1"/>
    <col min="8710" max="8710" width="11.140625" style="1" customWidth="1"/>
    <col min="8711" max="8963" width="9.140625" style="1"/>
    <col min="8964" max="8964" width="10" style="1" customWidth="1"/>
    <col min="8965" max="8965" width="9.140625" style="1"/>
    <col min="8966" max="8966" width="11.140625" style="1" customWidth="1"/>
    <col min="8967" max="9219" width="9.140625" style="1"/>
    <col min="9220" max="9220" width="10" style="1" customWidth="1"/>
    <col min="9221" max="9221" width="9.140625" style="1"/>
    <col min="9222" max="9222" width="11.140625" style="1" customWidth="1"/>
    <col min="9223" max="9475" width="9.140625" style="1"/>
    <col min="9476" max="9476" width="10" style="1" customWidth="1"/>
    <col min="9477" max="9477" width="9.140625" style="1"/>
    <col min="9478" max="9478" width="11.140625" style="1" customWidth="1"/>
    <col min="9479" max="9731" width="9.140625" style="1"/>
    <col min="9732" max="9732" width="10" style="1" customWidth="1"/>
    <col min="9733" max="9733" width="9.140625" style="1"/>
    <col min="9734" max="9734" width="11.140625" style="1" customWidth="1"/>
    <col min="9735" max="9987" width="9.140625" style="1"/>
    <col min="9988" max="9988" width="10" style="1" customWidth="1"/>
    <col min="9989" max="9989" width="9.140625" style="1"/>
    <col min="9990" max="9990" width="11.140625" style="1" customWidth="1"/>
    <col min="9991" max="10243" width="9.140625" style="1"/>
    <col min="10244" max="10244" width="10" style="1" customWidth="1"/>
    <col min="10245" max="10245" width="9.140625" style="1"/>
    <col min="10246" max="10246" width="11.140625" style="1" customWidth="1"/>
    <col min="10247" max="10499" width="9.140625" style="1"/>
    <col min="10500" max="10500" width="10" style="1" customWidth="1"/>
    <col min="10501" max="10501" width="9.140625" style="1"/>
    <col min="10502" max="10502" width="11.140625" style="1" customWidth="1"/>
    <col min="10503" max="10755" width="9.140625" style="1"/>
    <col min="10756" max="10756" width="10" style="1" customWidth="1"/>
    <col min="10757" max="10757" width="9.140625" style="1"/>
    <col min="10758" max="10758" width="11.140625" style="1" customWidth="1"/>
    <col min="10759" max="11011" width="9.140625" style="1"/>
    <col min="11012" max="11012" width="10" style="1" customWidth="1"/>
    <col min="11013" max="11013" width="9.140625" style="1"/>
    <col min="11014" max="11014" width="11.140625" style="1" customWidth="1"/>
    <col min="11015" max="11267" width="9.140625" style="1"/>
    <col min="11268" max="11268" width="10" style="1" customWidth="1"/>
    <col min="11269" max="11269" width="9.140625" style="1"/>
    <col min="11270" max="11270" width="11.140625" style="1" customWidth="1"/>
    <col min="11271" max="11523" width="9.140625" style="1"/>
    <col min="11524" max="11524" width="10" style="1" customWidth="1"/>
    <col min="11525" max="11525" width="9.140625" style="1"/>
    <col min="11526" max="11526" width="11.140625" style="1" customWidth="1"/>
    <col min="11527" max="11779" width="9.140625" style="1"/>
    <col min="11780" max="11780" width="10" style="1" customWidth="1"/>
    <col min="11781" max="11781" width="9.140625" style="1"/>
    <col min="11782" max="11782" width="11.140625" style="1" customWidth="1"/>
    <col min="11783" max="12035" width="9.140625" style="1"/>
    <col min="12036" max="12036" width="10" style="1" customWidth="1"/>
    <col min="12037" max="12037" width="9.140625" style="1"/>
    <col min="12038" max="12038" width="11.140625" style="1" customWidth="1"/>
    <col min="12039" max="12291" width="9.140625" style="1"/>
    <col min="12292" max="12292" width="10" style="1" customWidth="1"/>
    <col min="12293" max="12293" width="9.140625" style="1"/>
    <col min="12294" max="12294" width="11.140625" style="1" customWidth="1"/>
    <col min="12295" max="12547" width="9.140625" style="1"/>
    <col min="12548" max="12548" width="10" style="1" customWidth="1"/>
    <col min="12549" max="12549" width="9.140625" style="1"/>
    <col min="12550" max="12550" width="11.140625" style="1" customWidth="1"/>
    <col min="12551" max="12803" width="9.140625" style="1"/>
    <col min="12804" max="12804" width="10" style="1" customWidth="1"/>
    <col min="12805" max="12805" width="9.140625" style="1"/>
    <col min="12806" max="12806" width="11.140625" style="1" customWidth="1"/>
    <col min="12807" max="13059" width="9.140625" style="1"/>
    <col min="13060" max="13060" width="10" style="1" customWidth="1"/>
    <col min="13061" max="13061" width="9.140625" style="1"/>
    <col min="13062" max="13062" width="11.140625" style="1" customWidth="1"/>
    <col min="13063" max="13315" width="9.140625" style="1"/>
    <col min="13316" max="13316" width="10" style="1" customWidth="1"/>
    <col min="13317" max="13317" width="9.140625" style="1"/>
    <col min="13318" max="13318" width="11.140625" style="1" customWidth="1"/>
    <col min="13319" max="13571" width="9.140625" style="1"/>
    <col min="13572" max="13572" width="10" style="1" customWidth="1"/>
    <col min="13573" max="13573" width="9.140625" style="1"/>
    <col min="13574" max="13574" width="11.140625" style="1" customWidth="1"/>
    <col min="13575" max="13827" width="9.140625" style="1"/>
    <col min="13828" max="13828" width="10" style="1" customWidth="1"/>
    <col min="13829" max="13829" width="9.140625" style="1"/>
    <col min="13830" max="13830" width="11.140625" style="1" customWidth="1"/>
    <col min="13831" max="14083" width="9.140625" style="1"/>
    <col min="14084" max="14084" width="10" style="1" customWidth="1"/>
    <col min="14085" max="14085" width="9.140625" style="1"/>
    <col min="14086" max="14086" width="11.140625" style="1" customWidth="1"/>
    <col min="14087" max="14339" width="9.140625" style="1"/>
    <col min="14340" max="14340" width="10" style="1" customWidth="1"/>
    <col min="14341" max="14341" width="9.140625" style="1"/>
    <col min="14342" max="14342" width="11.140625" style="1" customWidth="1"/>
    <col min="14343" max="14595" width="9.140625" style="1"/>
    <col min="14596" max="14596" width="10" style="1" customWidth="1"/>
    <col min="14597" max="14597" width="9.140625" style="1"/>
    <col min="14598" max="14598" width="11.140625" style="1" customWidth="1"/>
    <col min="14599" max="14851" width="9.140625" style="1"/>
    <col min="14852" max="14852" width="10" style="1" customWidth="1"/>
    <col min="14853" max="14853" width="9.140625" style="1"/>
    <col min="14854" max="14854" width="11.140625" style="1" customWidth="1"/>
    <col min="14855" max="15107" width="9.140625" style="1"/>
    <col min="15108" max="15108" width="10" style="1" customWidth="1"/>
    <col min="15109" max="15109" width="9.140625" style="1"/>
    <col min="15110" max="15110" width="11.140625" style="1" customWidth="1"/>
    <col min="15111" max="15363" width="9.140625" style="1"/>
    <col min="15364" max="15364" width="10" style="1" customWidth="1"/>
    <col min="15365" max="15365" width="9.140625" style="1"/>
    <col min="15366" max="15366" width="11.140625" style="1" customWidth="1"/>
    <col min="15367" max="15619" width="9.140625" style="1"/>
    <col min="15620" max="15620" width="10" style="1" customWidth="1"/>
    <col min="15621" max="15621" width="9.140625" style="1"/>
    <col min="15622" max="15622" width="11.140625" style="1" customWidth="1"/>
    <col min="15623" max="15875" width="9.140625" style="1"/>
    <col min="15876" max="15876" width="10" style="1" customWidth="1"/>
    <col min="15877" max="15877" width="9.140625" style="1"/>
    <col min="15878" max="15878" width="11.140625" style="1" customWidth="1"/>
    <col min="15879" max="16131" width="9.140625" style="1"/>
    <col min="16132" max="16132" width="10" style="1" customWidth="1"/>
    <col min="16133" max="16133" width="9.140625" style="1"/>
    <col min="16134" max="16134" width="11.140625" style="1" customWidth="1"/>
    <col min="16135" max="16384" width="9.140625" style="1"/>
  </cols>
  <sheetData>
    <row r="1" spans="1:8" x14ac:dyDescent="0.25">
      <c r="C1" s="2" t="s">
        <v>0</v>
      </c>
    </row>
    <row r="2" spans="1:8" x14ac:dyDescent="0.25">
      <c r="A2" s="2" t="s">
        <v>1</v>
      </c>
      <c r="B2" s="2"/>
      <c r="C2" s="2" t="s">
        <v>2</v>
      </c>
      <c r="E2" s="2" t="s">
        <v>3</v>
      </c>
      <c r="H2" s="2" t="s">
        <v>4</v>
      </c>
    </row>
    <row r="3" spans="1:8" x14ac:dyDescent="0.25">
      <c r="A3" s="1" t="s">
        <v>691</v>
      </c>
      <c r="C3" s="1" t="s">
        <v>5</v>
      </c>
      <c r="E3" s="1" t="s">
        <v>700</v>
      </c>
      <c r="H3" s="1" t="s">
        <v>6</v>
      </c>
    </row>
    <row r="4" spans="1:8" x14ac:dyDescent="0.25">
      <c r="A4" s="1" t="s">
        <v>692</v>
      </c>
      <c r="C4" s="1" t="s">
        <v>7</v>
      </c>
      <c r="E4" s="1" t="s">
        <v>8</v>
      </c>
      <c r="H4" s="1" t="s">
        <v>9</v>
      </c>
    </row>
    <row r="5" spans="1:8" x14ac:dyDescent="0.25">
      <c r="A5" s="1" t="s">
        <v>693</v>
      </c>
      <c r="C5" s="1" t="s">
        <v>10</v>
      </c>
      <c r="E5" s="1" t="s">
        <v>11</v>
      </c>
      <c r="H5" s="1" t="s">
        <v>12</v>
      </c>
    </row>
    <row r="6" spans="1:8" x14ac:dyDescent="0.25">
      <c r="A6" s="1" t="s">
        <v>694</v>
      </c>
      <c r="C6" s="1" t="s">
        <v>13</v>
      </c>
      <c r="E6" s="1" t="s">
        <v>14</v>
      </c>
      <c r="H6" s="1" t="s">
        <v>15</v>
      </c>
    </row>
    <row r="7" spans="1:8" x14ac:dyDescent="0.25">
      <c r="A7" s="1" t="s">
        <v>695</v>
      </c>
      <c r="C7" s="1" t="s">
        <v>16</v>
      </c>
      <c r="E7" s="1" t="s">
        <v>17</v>
      </c>
      <c r="H7" s="1" t="s">
        <v>18</v>
      </c>
    </row>
    <row r="8" spans="1:8" x14ac:dyDescent="0.25">
      <c r="A8" s="1" t="s">
        <v>696</v>
      </c>
      <c r="C8" s="1" t="s">
        <v>19</v>
      </c>
      <c r="E8" s="1" t="s">
        <v>20</v>
      </c>
      <c r="H8" s="1" t="s">
        <v>21</v>
      </c>
    </row>
    <row r="9" spans="1:8" x14ac:dyDescent="0.25">
      <c r="A9" s="1" t="s">
        <v>697</v>
      </c>
      <c r="C9" s="1" t="s">
        <v>22</v>
      </c>
      <c r="E9" s="1" t="s">
        <v>23</v>
      </c>
      <c r="H9" s="1" t="s">
        <v>24</v>
      </c>
    </row>
    <row r="10" spans="1:8" x14ac:dyDescent="0.25">
      <c r="A10" s="1" t="s">
        <v>698</v>
      </c>
      <c r="C10" s="1" t="s">
        <v>25</v>
      </c>
      <c r="E10" s="1" t="s">
        <v>26</v>
      </c>
      <c r="H10" s="1" t="s">
        <v>27</v>
      </c>
    </row>
    <row r="11" spans="1:8" x14ac:dyDescent="0.25">
      <c r="A11" s="1" t="s">
        <v>699</v>
      </c>
      <c r="C11" s="1" t="s">
        <v>28</v>
      </c>
      <c r="E11" s="1" t="s">
        <v>29</v>
      </c>
      <c r="H11" s="1" t="s">
        <v>30</v>
      </c>
    </row>
    <row r="12" spans="1:8" x14ac:dyDescent="0.25">
      <c r="A12" s="1" t="s">
        <v>31</v>
      </c>
      <c r="C12" s="1" t="s">
        <v>32</v>
      </c>
      <c r="E12" s="1" t="s">
        <v>33</v>
      </c>
      <c r="H12" s="1" t="s">
        <v>34</v>
      </c>
    </row>
    <row r="13" spans="1:8" x14ac:dyDescent="0.25">
      <c r="A13" s="1" t="s">
        <v>35</v>
      </c>
      <c r="C13" s="1" t="s">
        <v>36</v>
      </c>
      <c r="E13" s="1" t="s">
        <v>37</v>
      </c>
      <c r="H13" s="1" t="s">
        <v>38</v>
      </c>
    </row>
    <row r="14" spans="1:8" x14ac:dyDescent="0.25">
      <c r="A14" s="1" t="s">
        <v>39</v>
      </c>
      <c r="C14" s="1" t="s">
        <v>40</v>
      </c>
      <c r="E14" s="1" t="s">
        <v>41</v>
      </c>
      <c r="H14" s="1" t="s">
        <v>42</v>
      </c>
    </row>
    <row r="15" spans="1:8" x14ac:dyDescent="0.25">
      <c r="A15" s="1" t="s">
        <v>43</v>
      </c>
      <c r="C15" s="1" t="s">
        <v>680</v>
      </c>
      <c r="H15" s="1" t="s">
        <v>44</v>
      </c>
    </row>
    <row r="17" spans="1:8" x14ac:dyDescent="0.25">
      <c r="A17" s="2" t="s">
        <v>45</v>
      </c>
      <c r="D17" s="2" t="s">
        <v>46</v>
      </c>
      <c r="F17" s="2" t="s">
        <v>47</v>
      </c>
      <c r="H17" s="2" t="s">
        <v>48</v>
      </c>
    </row>
    <row r="18" spans="1:8" x14ac:dyDescent="0.25">
      <c r="A18" s="1" t="s">
        <v>49</v>
      </c>
      <c r="D18" s="1" t="s">
        <v>50</v>
      </c>
      <c r="F18" s="1" t="s">
        <v>51</v>
      </c>
      <c r="H18" s="1" t="s">
        <v>52</v>
      </c>
    </row>
    <row r="19" spans="1:8" x14ac:dyDescent="0.25">
      <c r="A19" s="1" t="s">
        <v>53</v>
      </c>
      <c r="D19" s="1" t="s">
        <v>54</v>
      </c>
      <c r="F19" s="1" t="s">
        <v>55</v>
      </c>
      <c r="H19" s="1" t="s">
        <v>56</v>
      </c>
    </row>
    <row r="20" spans="1:8" x14ac:dyDescent="0.25">
      <c r="A20" s="1" t="s">
        <v>57</v>
      </c>
      <c r="D20" s="1" t="s">
        <v>58</v>
      </c>
      <c r="F20" s="1" t="s">
        <v>59</v>
      </c>
      <c r="H20" s="1" t="s">
        <v>60</v>
      </c>
    </row>
    <row r="21" spans="1:8" x14ac:dyDescent="0.25">
      <c r="A21" s="1" t="s">
        <v>61</v>
      </c>
      <c r="D21" s="1" t="s">
        <v>62</v>
      </c>
      <c r="F21" s="1" t="s">
        <v>63</v>
      </c>
      <c r="H21" s="1" t="s">
        <v>64</v>
      </c>
    </row>
    <row r="22" spans="1:8" x14ac:dyDescent="0.25">
      <c r="A22" s="1" t="s">
        <v>65</v>
      </c>
      <c r="D22" s="1" t="s">
        <v>66</v>
      </c>
      <c r="F22" s="1" t="s">
        <v>67</v>
      </c>
      <c r="H22" s="1" t="s">
        <v>68</v>
      </c>
    </row>
    <row r="23" spans="1:8" x14ac:dyDescent="0.25">
      <c r="A23" s="1" t="s">
        <v>69</v>
      </c>
      <c r="D23" s="1" t="s">
        <v>70</v>
      </c>
      <c r="F23" s="1" t="s">
        <v>71</v>
      </c>
      <c r="H23" s="1" t="s">
        <v>72</v>
      </c>
    </row>
    <row r="24" spans="1:8" x14ac:dyDescent="0.25">
      <c r="A24" s="1" t="s">
        <v>73</v>
      </c>
      <c r="D24" s="1" t="s">
        <v>74</v>
      </c>
      <c r="F24" s="1" t="s">
        <v>75</v>
      </c>
      <c r="H24" s="1" t="s">
        <v>76</v>
      </c>
    </row>
    <row r="25" spans="1:8" x14ac:dyDescent="0.25">
      <c r="A25" s="1" t="s">
        <v>77</v>
      </c>
      <c r="D25" s="1" t="s">
        <v>78</v>
      </c>
      <c r="F25" s="1" t="s">
        <v>79</v>
      </c>
      <c r="H25" s="1" t="s">
        <v>80</v>
      </c>
    </row>
    <row r="26" spans="1:8" x14ac:dyDescent="0.25">
      <c r="A26" s="1" t="s">
        <v>81</v>
      </c>
      <c r="D26" s="1" t="s">
        <v>82</v>
      </c>
      <c r="F26" s="1" t="s">
        <v>83</v>
      </c>
      <c r="H26" s="1" t="s">
        <v>84</v>
      </c>
    </row>
    <row r="27" spans="1:8" x14ac:dyDescent="0.25">
      <c r="A27" s="1" t="s">
        <v>85</v>
      </c>
      <c r="D27" s="1" t="s">
        <v>86</v>
      </c>
      <c r="F27" s="1" t="s">
        <v>87</v>
      </c>
      <c r="H27" s="1" t="s">
        <v>88</v>
      </c>
    </row>
    <row r="28" spans="1:8" x14ac:dyDescent="0.25">
      <c r="A28" s="1" t="s">
        <v>89</v>
      </c>
      <c r="D28" s="1" t="s">
        <v>90</v>
      </c>
      <c r="F28" s="1" t="s">
        <v>91</v>
      </c>
      <c r="H28" s="1" t="s">
        <v>92</v>
      </c>
    </row>
    <row r="29" spans="1:8" x14ac:dyDescent="0.25">
      <c r="A29" s="1" t="s">
        <v>93</v>
      </c>
      <c r="D29" s="1" t="s">
        <v>94</v>
      </c>
      <c r="F29" s="1" t="s">
        <v>95</v>
      </c>
      <c r="H29" s="1" t="s">
        <v>96</v>
      </c>
    </row>
    <row r="30" spans="1:8" x14ac:dyDescent="0.25">
      <c r="A30" s="1" t="s">
        <v>97</v>
      </c>
      <c r="D30" s="1" t="s">
        <v>98</v>
      </c>
      <c r="F30" s="1" t="s">
        <v>99</v>
      </c>
      <c r="H30" s="1" t="s">
        <v>100</v>
      </c>
    </row>
    <row r="31" spans="1:8" x14ac:dyDescent="0.25">
      <c r="A31" s="1" t="s">
        <v>101</v>
      </c>
      <c r="D31" s="1" t="s">
        <v>102</v>
      </c>
      <c r="F31" s="1" t="s">
        <v>103</v>
      </c>
      <c r="H31" s="1" t="s">
        <v>104</v>
      </c>
    </row>
    <row r="33" spans="1:8" x14ac:dyDescent="0.25">
      <c r="A33" s="2" t="s">
        <v>105</v>
      </c>
      <c r="C33" s="2" t="s">
        <v>106</v>
      </c>
      <c r="E33" s="2" t="s">
        <v>107</v>
      </c>
      <c r="G33" s="2" t="s">
        <v>108</v>
      </c>
      <c r="H33" s="2"/>
    </row>
    <row r="34" spans="1:8" x14ac:dyDescent="0.25">
      <c r="A34" s="1" t="s">
        <v>109</v>
      </c>
      <c r="C34" s="1" t="s">
        <v>110</v>
      </c>
      <c r="E34" s="1" t="s">
        <v>111</v>
      </c>
      <c r="G34" s="1" t="s">
        <v>112</v>
      </c>
    </row>
    <row r="35" spans="1:8" x14ac:dyDescent="0.25">
      <c r="A35" s="1" t="s">
        <v>113</v>
      </c>
      <c r="C35" s="1" t="s">
        <v>114</v>
      </c>
      <c r="E35" s="1" t="s">
        <v>115</v>
      </c>
      <c r="G35" s="1" t="s">
        <v>116</v>
      </c>
    </row>
    <row r="36" spans="1:8" x14ac:dyDescent="0.25">
      <c r="A36" s="1" t="s">
        <v>117</v>
      </c>
      <c r="C36" s="1" t="s">
        <v>118</v>
      </c>
      <c r="E36" s="1" t="s">
        <v>119</v>
      </c>
      <c r="G36" s="1" t="s">
        <v>120</v>
      </c>
    </row>
    <row r="37" spans="1:8" x14ac:dyDescent="0.25">
      <c r="A37" s="1" t="s">
        <v>121</v>
      </c>
      <c r="C37" s="1" t="s">
        <v>122</v>
      </c>
      <c r="E37" s="1" t="s">
        <v>123</v>
      </c>
      <c r="G37" s="1" t="s">
        <v>124</v>
      </c>
    </row>
    <row r="38" spans="1:8" x14ac:dyDescent="0.25">
      <c r="A38" s="1" t="s">
        <v>125</v>
      </c>
      <c r="C38" s="1" t="s">
        <v>126</v>
      </c>
      <c r="E38" s="1" t="s">
        <v>681</v>
      </c>
      <c r="G38" s="1" t="s">
        <v>128</v>
      </c>
    </row>
    <row r="39" spans="1:8" x14ac:dyDescent="0.25">
      <c r="A39" s="1" t="s">
        <v>129</v>
      </c>
      <c r="C39" s="1" t="s">
        <v>130</v>
      </c>
      <c r="E39" s="1" t="s">
        <v>127</v>
      </c>
      <c r="G39" s="1" t="s">
        <v>132</v>
      </c>
    </row>
    <row r="40" spans="1:8" x14ac:dyDescent="0.25">
      <c r="A40" s="1" t="s">
        <v>133</v>
      </c>
      <c r="C40" s="1" t="s">
        <v>134</v>
      </c>
      <c r="E40" s="1" t="s">
        <v>131</v>
      </c>
      <c r="G40" s="1" t="s">
        <v>136</v>
      </c>
    </row>
    <row r="41" spans="1:8" x14ac:dyDescent="0.25">
      <c r="A41" s="1" t="s">
        <v>137</v>
      </c>
      <c r="C41" s="1" t="s">
        <v>138</v>
      </c>
      <c r="E41" s="1" t="s">
        <v>135</v>
      </c>
      <c r="G41" s="1" t="s">
        <v>140</v>
      </c>
    </row>
    <row r="42" spans="1:8" x14ac:dyDescent="0.25">
      <c r="A42" s="1" t="s">
        <v>141</v>
      </c>
      <c r="C42" s="1" t="s">
        <v>142</v>
      </c>
      <c r="E42" s="1" t="s">
        <v>139</v>
      </c>
      <c r="G42" s="1" t="s">
        <v>144</v>
      </c>
    </row>
    <row r="43" spans="1:8" x14ac:dyDescent="0.25">
      <c r="A43" s="1" t="s">
        <v>145</v>
      </c>
      <c r="C43" s="1" t="s">
        <v>146</v>
      </c>
      <c r="E43" s="1" t="s">
        <v>143</v>
      </c>
      <c r="G43" s="1" t="s">
        <v>148</v>
      </c>
    </row>
    <row r="44" spans="1:8" x14ac:dyDescent="0.25">
      <c r="A44" s="1" t="s">
        <v>145</v>
      </c>
      <c r="C44" s="1" t="s">
        <v>149</v>
      </c>
      <c r="E44" s="1" t="s">
        <v>147</v>
      </c>
      <c r="G44" s="1" t="s">
        <v>151</v>
      </c>
    </row>
    <row r="45" spans="1:8" x14ac:dyDescent="0.25">
      <c r="A45" s="1" t="s">
        <v>152</v>
      </c>
      <c r="C45" s="1" t="s">
        <v>153</v>
      </c>
      <c r="E45" s="1" t="s">
        <v>150</v>
      </c>
      <c r="G45" s="1" t="s">
        <v>155</v>
      </c>
    </row>
    <row r="46" spans="1:8" x14ac:dyDescent="0.25">
      <c r="A46" s="1" t="s">
        <v>156</v>
      </c>
      <c r="C46" s="1" t="s">
        <v>157</v>
      </c>
      <c r="E46" s="1" t="s">
        <v>154</v>
      </c>
      <c r="G46" s="1" t="s">
        <v>159</v>
      </c>
    </row>
    <row r="47" spans="1:8" x14ac:dyDescent="0.25">
      <c r="A47" s="1" t="s">
        <v>160</v>
      </c>
      <c r="C47" s="1" t="s">
        <v>161</v>
      </c>
      <c r="E47" s="1" t="s">
        <v>158</v>
      </c>
      <c r="G47" s="1" t="s">
        <v>162</v>
      </c>
    </row>
    <row r="49" spans="1:8" x14ac:dyDescent="0.25">
      <c r="A49" s="2" t="s">
        <v>163</v>
      </c>
      <c r="D49" s="2" t="s">
        <v>164</v>
      </c>
      <c r="F49" s="2" t="s">
        <v>165</v>
      </c>
      <c r="H49" s="2" t="s">
        <v>166</v>
      </c>
    </row>
    <row r="50" spans="1:8" x14ac:dyDescent="0.25">
      <c r="A50" s="1" t="s">
        <v>167</v>
      </c>
      <c r="D50" s="1" t="s">
        <v>168</v>
      </c>
      <c r="F50" s="1" t="s">
        <v>169</v>
      </c>
      <c r="H50" s="1" t="s">
        <v>170</v>
      </c>
    </row>
    <row r="51" spans="1:8" x14ac:dyDescent="0.25">
      <c r="A51" s="1" t="s">
        <v>171</v>
      </c>
      <c r="D51" s="1" t="s">
        <v>172</v>
      </c>
      <c r="F51" s="1" t="s">
        <v>173</v>
      </c>
      <c r="H51" s="1" t="s">
        <v>174</v>
      </c>
    </row>
    <row r="52" spans="1:8" x14ac:dyDescent="0.25">
      <c r="A52" s="1" t="s">
        <v>175</v>
      </c>
      <c r="D52" s="1" t="s">
        <v>176</v>
      </c>
      <c r="F52" s="1" t="s">
        <v>177</v>
      </c>
      <c r="H52" s="1" t="s">
        <v>178</v>
      </c>
    </row>
    <row r="53" spans="1:8" x14ac:dyDescent="0.25">
      <c r="A53" s="1" t="s">
        <v>179</v>
      </c>
      <c r="D53" s="1" t="s">
        <v>180</v>
      </c>
      <c r="F53" s="1" t="s">
        <v>181</v>
      </c>
    </row>
    <row r="54" spans="1:8" x14ac:dyDescent="0.25">
      <c r="A54" s="1" t="s">
        <v>182</v>
      </c>
      <c r="D54" s="1" t="s">
        <v>183</v>
      </c>
      <c r="F54" s="1" t="s">
        <v>184</v>
      </c>
    </row>
    <row r="55" spans="1:8" x14ac:dyDescent="0.25">
      <c r="A55" s="1" t="s">
        <v>185</v>
      </c>
      <c r="D55" s="1" t="s">
        <v>186</v>
      </c>
      <c r="F55" s="1" t="s">
        <v>187</v>
      </c>
    </row>
    <row r="56" spans="1:8" x14ac:dyDescent="0.25">
      <c r="A56" s="1" t="s">
        <v>188</v>
      </c>
      <c r="D56" s="1" t="s">
        <v>189</v>
      </c>
      <c r="F56" s="1" t="s">
        <v>704</v>
      </c>
    </row>
    <row r="57" spans="1:8" x14ac:dyDescent="0.25">
      <c r="A57" s="1" t="s">
        <v>190</v>
      </c>
      <c r="D57" s="1" t="s">
        <v>191</v>
      </c>
    </row>
    <row r="58" spans="1:8" x14ac:dyDescent="0.25">
      <c r="A58" s="1" t="s">
        <v>192</v>
      </c>
      <c r="D58" s="1" t="s">
        <v>193</v>
      </c>
    </row>
    <row r="59" spans="1:8" x14ac:dyDescent="0.25">
      <c r="A59" s="1" t="s">
        <v>194</v>
      </c>
      <c r="D59" s="1" t="s">
        <v>195</v>
      </c>
    </row>
    <row r="60" spans="1:8" x14ac:dyDescent="0.25">
      <c r="A60" s="1" t="s">
        <v>196</v>
      </c>
      <c r="D60" s="1" t="s">
        <v>197</v>
      </c>
    </row>
    <row r="61" spans="1:8" x14ac:dyDescent="0.25">
      <c r="A61" s="1" t="s">
        <v>198</v>
      </c>
      <c r="D61" s="1" t="s">
        <v>199</v>
      </c>
    </row>
    <row r="62" spans="1:8" x14ac:dyDescent="0.25">
      <c r="A62" s="1" t="s">
        <v>200</v>
      </c>
      <c r="D62" s="1" t="s">
        <v>201</v>
      </c>
    </row>
    <row r="63" spans="1:8" x14ac:dyDescent="0.25">
      <c r="A63" s="1" t="s">
        <v>202</v>
      </c>
      <c r="D63" s="1" t="s">
        <v>203</v>
      </c>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S269"/>
  <sheetViews>
    <sheetView topLeftCell="A247" zoomScale="65" zoomScaleNormal="65" workbookViewId="0">
      <selection activeCell="Q257" sqref="Q257:R257"/>
    </sheetView>
  </sheetViews>
  <sheetFormatPr defaultColWidth="9.140625" defaultRowHeight="15" x14ac:dyDescent="0.25"/>
  <cols>
    <col min="1" max="1" width="3.42578125" customWidth="1"/>
    <col min="7" max="7" width="10" customWidth="1"/>
    <col min="9" max="9" width="55.85546875" customWidth="1"/>
    <col min="10" max="10" width="0.42578125" customWidth="1"/>
    <col min="11" max="11" width="4.42578125" customWidth="1"/>
    <col min="17" max="17" width="10.28515625" customWidth="1"/>
    <col min="19" max="19" width="54" customWidth="1"/>
    <col min="257" max="257" width="3.42578125" customWidth="1"/>
    <col min="263" max="263" width="10" customWidth="1"/>
    <col min="265" max="265" width="55.85546875" customWidth="1"/>
    <col min="266" max="266" width="0.42578125" customWidth="1"/>
    <col min="267" max="267" width="4.42578125" customWidth="1"/>
    <col min="273" max="273" width="10.28515625" customWidth="1"/>
    <col min="275" max="275" width="50.42578125" customWidth="1"/>
    <col min="513" max="513" width="3.42578125" customWidth="1"/>
    <col min="519" max="519" width="10" customWidth="1"/>
    <col min="521" max="521" width="55.85546875" customWidth="1"/>
    <col min="522" max="522" width="0.42578125" customWidth="1"/>
    <col min="523" max="523" width="4.42578125" customWidth="1"/>
    <col min="529" max="529" width="10.28515625" customWidth="1"/>
    <col min="531" max="531" width="50.42578125" customWidth="1"/>
    <col min="769" max="769" width="3.42578125" customWidth="1"/>
    <col min="775" max="775" width="10" customWidth="1"/>
    <col min="777" max="777" width="55.85546875" customWidth="1"/>
    <col min="778" max="778" width="0.42578125" customWidth="1"/>
    <col min="779" max="779" width="4.42578125" customWidth="1"/>
    <col min="785" max="785" width="10.28515625" customWidth="1"/>
    <col min="787" max="787" width="50.42578125" customWidth="1"/>
    <col min="1025" max="1025" width="3.42578125" customWidth="1"/>
    <col min="1031" max="1031" width="10" customWidth="1"/>
    <col min="1033" max="1033" width="55.85546875" customWidth="1"/>
    <col min="1034" max="1034" width="0.42578125" customWidth="1"/>
    <col min="1035" max="1035" width="4.42578125" customWidth="1"/>
    <col min="1041" max="1041" width="10.28515625" customWidth="1"/>
    <col min="1043" max="1043" width="50.42578125" customWidth="1"/>
    <col min="1281" max="1281" width="3.42578125" customWidth="1"/>
    <col min="1287" max="1287" width="10" customWidth="1"/>
    <col min="1289" max="1289" width="55.85546875" customWidth="1"/>
    <col min="1290" max="1290" width="0.42578125" customWidth="1"/>
    <col min="1291" max="1291" width="4.42578125" customWidth="1"/>
    <col min="1297" max="1297" width="10.28515625" customWidth="1"/>
    <col min="1299" max="1299" width="50.42578125" customWidth="1"/>
    <col min="1537" max="1537" width="3.42578125" customWidth="1"/>
    <col min="1543" max="1543" width="10" customWidth="1"/>
    <col min="1545" max="1545" width="55.85546875" customWidth="1"/>
    <col min="1546" max="1546" width="0.42578125" customWidth="1"/>
    <col min="1547" max="1547" width="4.42578125" customWidth="1"/>
    <col min="1553" max="1553" width="10.28515625" customWidth="1"/>
    <col min="1555" max="1555" width="50.42578125" customWidth="1"/>
    <col min="1793" max="1793" width="3.42578125" customWidth="1"/>
    <col min="1799" max="1799" width="10" customWidth="1"/>
    <col min="1801" max="1801" width="55.85546875" customWidth="1"/>
    <col min="1802" max="1802" width="0.42578125" customWidth="1"/>
    <col min="1803" max="1803" width="4.42578125" customWidth="1"/>
    <col min="1809" max="1809" width="10.28515625" customWidth="1"/>
    <col min="1811" max="1811" width="50.42578125" customWidth="1"/>
    <col min="2049" max="2049" width="3.42578125" customWidth="1"/>
    <col min="2055" max="2055" width="10" customWidth="1"/>
    <col min="2057" max="2057" width="55.85546875" customWidth="1"/>
    <col min="2058" max="2058" width="0.42578125" customWidth="1"/>
    <col min="2059" max="2059" width="4.42578125" customWidth="1"/>
    <col min="2065" max="2065" width="10.28515625" customWidth="1"/>
    <col min="2067" max="2067" width="50.42578125" customWidth="1"/>
    <col min="2305" max="2305" width="3.42578125" customWidth="1"/>
    <col min="2311" max="2311" width="10" customWidth="1"/>
    <col min="2313" max="2313" width="55.85546875" customWidth="1"/>
    <col min="2314" max="2314" width="0.42578125" customWidth="1"/>
    <col min="2315" max="2315" width="4.42578125" customWidth="1"/>
    <col min="2321" max="2321" width="10.28515625" customWidth="1"/>
    <col min="2323" max="2323" width="50.42578125" customWidth="1"/>
    <col min="2561" max="2561" width="3.42578125" customWidth="1"/>
    <col min="2567" max="2567" width="10" customWidth="1"/>
    <col min="2569" max="2569" width="55.85546875" customWidth="1"/>
    <col min="2570" max="2570" width="0.42578125" customWidth="1"/>
    <col min="2571" max="2571" width="4.42578125" customWidth="1"/>
    <col min="2577" max="2577" width="10.28515625" customWidth="1"/>
    <col min="2579" max="2579" width="50.42578125" customWidth="1"/>
    <col min="2817" max="2817" width="3.42578125" customWidth="1"/>
    <col min="2823" max="2823" width="10" customWidth="1"/>
    <col min="2825" max="2825" width="55.85546875" customWidth="1"/>
    <col min="2826" max="2826" width="0.42578125" customWidth="1"/>
    <col min="2827" max="2827" width="4.42578125" customWidth="1"/>
    <col min="2833" max="2833" width="10.28515625" customWidth="1"/>
    <col min="2835" max="2835" width="50.42578125" customWidth="1"/>
    <col min="3073" max="3073" width="3.42578125" customWidth="1"/>
    <col min="3079" max="3079" width="10" customWidth="1"/>
    <col min="3081" max="3081" width="55.85546875" customWidth="1"/>
    <col min="3082" max="3082" width="0.42578125" customWidth="1"/>
    <col min="3083" max="3083" width="4.42578125" customWidth="1"/>
    <col min="3089" max="3089" width="10.28515625" customWidth="1"/>
    <col min="3091" max="3091" width="50.42578125" customWidth="1"/>
    <col min="3329" max="3329" width="3.42578125" customWidth="1"/>
    <col min="3335" max="3335" width="10" customWidth="1"/>
    <col min="3337" max="3337" width="55.85546875" customWidth="1"/>
    <col min="3338" max="3338" width="0.42578125" customWidth="1"/>
    <col min="3339" max="3339" width="4.42578125" customWidth="1"/>
    <col min="3345" max="3345" width="10.28515625" customWidth="1"/>
    <col min="3347" max="3347" width="50.42578125" customWidth="1"/>
    <col min="3585" max="3585" width="3.42578125" customWidth="1"/>
    <col min="3591" max="3591" width="10" customWidth="1"/>
    <col min="3593" max="3593" width="55.85546875" customWidth="1"/>
    <col min="3594" max="3594" width="0.42578125" customWidth="1"/>
    <col min="3595" max="3595" width="4.42578125" customWidth="1"/>
    <col min="3601" max="3601" width="10.28515625" customWidth="1"/>
    <col min="3603" max="3603" width="50.42578125" customWidth="1"/>
    <col min="3841" max="3841" width="3.42578125" customWidth="1"/>
    <col min="3847" max="3847" width="10" customWidth="1"/>
    <col min="3849" max="3849" width="55.85546875" customWidth="1"/>
    <col min="3850" max="3850" width="0.42578125" customWidth="1"/>
    <col min="3851" max="3851" width="4.42578125" customWidth="1"/>
    <col min="3857" max="3857" width="10.28515625" customWidth="1"/>
    <col min="3859" max="3859" width="50.42578125" customWidth="1"/>
    <col min="4097" max="4097" width="3.42578125" customWidth="1"/>
    <col min="4103" max="4103" width="10" customWidth="1"/>
    <col min="4105" max="4105" width="55.85546875" customWidth="1"/>
    <col min="4106" max="4106" width="0.42578125" customWidth="1"/>
    <col min="4107" max="4107" width="4.42578125" customWidth="1"/>
    <col min="4113" max="4113" width="10.28515625" customWidth="1"/>
    <col min="4115" max="4115" width="50.42578125" customWidth="1"/>
    <col min="4353" max="4353" width="3.42578125" customWidth="1"/>
    <col min="4359" max="4359" width="10" customWidth="1"/>
    <col min="4361" max="4361" width="55.85546875" customWidth="1"/>
    <col min="4362" max="4362" width="0.42578125" customWidth="1"/>
    <col min="4363" max="4363" width="4.42578125" customWidth="1"/>
    <col min="4369" max="4369" width="10.28515625" customWidth="1"/>
    <col min="4371" max="4371" width="50.42578125" customWidth="1"/>
    <col min="4609" max="4609" width="3.42578125" customWidth="1"/>
    <col min="4615" max="4615" width="10" customWidth="1"/>
    <col min="4617" max="4617" width="55.85546875" customWidth="1"/>
    <col min="4618" max="4618" width="0.42578125" customWidth="1"/>
    <col min="4619" max="4619" width="4.42578125" customWidth="1"/>
    <col min="4625" max="4625" width="10.28515625" customWidth="1"/>
    <col min="4627" max="4627" width="50.42578125" customWidth="1"/>
    <col min="4865" max="4865" width="3.42578125" customWidth="1"/>
    <col min="4871" max="4871" width="10" customWidth="1"/>
    <col min="4873" max="4873" width="55.85546875" customWidth="1"/>
    <col min="4874" max="4874" width="0.42578125" customWidth="1"/>
    <col min="4875" max="4875" width="4.42578125" customWidth="1"/>
    <col min="4881" max="4881" width="10.28515625" customWidth="1"/>
    <col min="4883" max="4883" width="50.42578125" customWidth="1"/>
    <col min="5121" max="5121" width="3.42578125" customWidth="1"/>
    <col min="5127" max="5127" width="10" customWidth="1"/>
    <col min="5129" max="5129" width="55.85546875" customWidth="1"/>
    <col min="5130" max="5130" width="0.42578125" customWidth="1"/>
    <col min="5131" max="5131" width="4.42578125" customWidth="1"/>
    <col min="5137" max="5137" width="10.28515625" customWidth="1"/>
    <col min="5139" max="5139" width="50.42578125" customWidth="1"/>
    <col min="5377" max="5377" width="3.42578125" customWidth="1"/>
    <col min="5383" max="5383" width="10" customWidth="1"/>
    <col min="5385" max="5385" width="55.85546875" customWidth="1"/>
    <col min="5386" max="5386" width="0.42578125" customWidth="1"/>
    <col min="5387" max="5387" width="4.42578125" customWidth="1"/>
    <col min="5393" max="5393" width="10.28515625" customWidth="1"/>
    <col min="5395" max="5395" width="50.42578125" customWidth="1"/>
    <col min="5633" max="5633" width="3.42578125" customWidth="1"/>
    <col min="5639" max="5639" width="10" customWidth="1"/>
    <col min="5641" max="5641" width="55.85546875" customWidth="1"/>
    <col min="5642" max="5642" width="0.42578125" customWidth="1"/>
    <col min="5643" max="5643" width="4.42578125" customWidth="1"/>
    <col min="5649" max="5649" width="10.28515625" customWidth="1"/>
    <col min="5651" max="5651" width="50.42578125" customWidth="1"/>
    <col min="5889" max="5889" width="3.42578125" customWidth="1"/>
    <col min="5895" max="5895" width="10" customWidth="1"/>
    <col min="5897" max="5897" width="55.85546875" customWidth="1"/>
    <col min="5898" max="5898" width="0.42578125" customWidth="1"/>
    <col min="5899" max="5899" width="4.42578125" customWidth="1"/>
    <col min="5905" max="5905" width="10.28515625" customWidth="1"/>
    <col min="5907" max="5907" width="50.42578125" customWidth="1"/>
    <col min="6145" max="6145" width="3.42578125" customWidth="1"/>
    <col min="6151" max="6151" width="10" customWidth="1"/>
    <col min="6153" max="6153" width="55.85546875" customWidth="1"/>
    <col min="6154" max="6154" width="0.42578125" customWidth="1"/>
    <col min="6155" max="6155" width="4.42578125" customWidth="1"/>
    <col min="6161" max="6161" width="10.28515625" customWidth="1"/>
    <col min="6163" max="6163" width="50.42578125" customWidth="1"/>
    <col min="6401" max="6401" width="3.42578125" customWidth="1"/>
    <col min="6407" max="6407" width="10" customWidth="1"/>
    <col min="6409" max="6409" width="55.85546875" customWidth="1"/>
    <col min="6410" max="6410" width="0.42578125" customWidth="1"/>
    <col min="6411" max="6411" width="4.42578125" customWidth="1"/>
    <col min="6417" max="6417" width="10.28515625" customWidth="1"/>
    <col min="6419" max="6419" width="50.42578125" customWidth="1"/>
    <col min="6657" max="6657" width="3.42578125" customWidth="1"/>
    <col min="6663" max="6663" width="10" customWidth="1"/>
    <col min="6665" max="6665" width="55.85546875" customWidth="1"/>
    <col min="6666" max="6666" width="0.42578125" customWidth="1"/>
    <col min="6667" max="6667" width="4.42578125" customWidth="1"/>
    <col min="6673" max="6673" width="10.28515625" customWidth="1"/>
    <col min="6675" max="6675" width="50.42578125" customWidth="1"/>
    <col min="6913" max="6913" width="3.42578125" customWidth="1"/>
    <col min="6919" max="6919" width="10" customWidth="1"/>
    <col min="6921" max="6921" width="55.85546875" customWidth="1"/>
    <col min="6922" max="6922" width="0.42578125" customWidth="1"/>
    <col min="6923" max="6923" width="4.42578125" customWidth="1"/>
    <col min="6929" max="6929" width="10.28515625" customWidth="1"/>
    <col min="6931" max="6931" width="50.42578125" customWidth="1"/>
    <col min="7169" max="7169" width="3.42578125" customWidth="1"/>
    <col min="7175" max="7175" width="10" customWidth="1"/>
    <col min="7177" max="7177" width="55.85546875" customWidth="1"/>
    <col min="7178" max="7178" width="0.42578125" customWidth="1"/>
    <col min="7179" max="7179" width="4.42578125" customWidth="1"/>
    <col min="7185" max="7185" width="10.28515625" customWidth="1"/>
    <col min="7187" max="7187" width="50.42578125" customWidth="1"/>
    <col min="7425" max="7425" width="3.42578125" customWidth="1"/>
    <col min="7431" max="7431" width="10" customWidth="1"/>
    <col min="7433" max="7433" width="55.85546875" customWidth="1"/>
    <col min="7434" max="7434" width="0.42578125" customWidth="1"/>
    <col min="7435" max="7435" width="4.42578125" customWidth="1"/>
    <col min="7441" max="7441" width="10.28515625" customWidth="1"/>
    <col min="7443" max="7443" width="50.42578125" customWidth="1"/>
    <col min="7681" max="7681" width="3.42578125" customWidth="1"/>
    <col min="7687" max="7687" width="10" customWidth="1"/>
    <col min="7689" max="7689" width="55.85546875" customWidth="1"/>
    <col min="7690" max="7690" width="0.42578125" customWidth="1"/>
    <col min="7691" max="7691" width="4.42578125" customWidth="1"/>
    <col min="7697" max="7697" width="10.28515625" customWidth="1"/>
    <col min="7699" max="7699" width="50.42578125" customWidth="1"/>
    <col min="7937" max="7937" width="3.42578125" customWidth="1"/>
    <col min="7943" max="7943" width="10" customWidth="1"/>
    <col min="7945" max="7945" width="55.85546875" customWidth="1"/>
    <col min="7946" max="7946" width="0.42578125" customWidth="1"/>
    <col min="7947" max="7947" width="4.42578125" customWidth="1"/>
    <col min="7953" max="7953" width="10.28515625" customWidth="1"/>
    <col min="7955" max="7955" width="50.42578125" customWidth="1"/>
    <col min="8193" max="8193" width="3.42578125" customWidth="1"/>
    <col min="8199" max="8199" width="10" customWidth="1"/>
    <col min="8201" max="8201" width="55.85546875" customWidth="1"/>
    <col min="8202" max="8202" width="0.42578125" customWidth="1"/>
    <col min="8203" max="8203" width="4.42578125" customWidth="1"/>
    <col min="8209" max="8209" width="10.28515625" customWidth="1"/>
    <col min="8211" max="8211" width="50.42578125" customWidth="1"/>
    <col min="8449" max="8449" width="3.42578125" customWidth="1"/>
    <col min="8455" max="8455" width="10" customWidth="1"/>
    <col min="8457" max="8457" width="55.85546875" customWidth="1"/>
    <col min="8458" max="8458" width="0.42578125" customWidth="1"/>
    <col min="8459" max="8459" width="4.42578125" customWidth="1"/>
    <col min="8465" max="8465" width="10.28515625" customWidth="1"/>
    <col min="8467" max="8467" width="50.42578125" customWidth="1"/>
    <col min="8705" max="8705" width="3.42578125" customWidth="1"/>
    <col min="8711" max="8711" width="10" customWidth="1"/>
    <col min="8713" max="8713" width="55.85546875" customWidth="1"/>
    <col min="8714" max="8714" width="0.42578125" customWidth="1"/>
    <col min="8715" max="8715" width="4.42578125" customWidth="1"/>
    <col min="8721" max="8721" width="10.28515625" customWidth="1"/>
    <col min="8723" max="8723" width="50.42578125" customWidth="1"/>
    <col min="8961" max="8961" width="3.42578125" customWidth="1"/>
    <col min="8967" max="8967" width="10" customWidth="1"/>
    <col min="8969" max="8969" width="55.85546875" customWidth="1"/>
    <col min="8970" max="8970" width="0.42578125" customWidth="1"/>
    <col min="8971" max="8971" width="4.42578125" customWidth="1"/>
    <col min="8977" max="8977" width="10.28515625" customWidth="1"/>
    <col min="8979" max="8979" width="50.42578125" customWidth="1"/>
    <col min="9217" max="9217" width="3.42578125" customWidth="1"/>
    <col min="9223" max="9223" width="10" customWidth="1"/>
    <col min="9225" max="9225" width="55.85546875" customWidth="1"/>
    <col min="9226" max="9226" width="0.42578125" customWidth="1"/>
    <col min="9227" max="9227" width="4.42578125" customWidth="1"/>
    <col min="9233" max="9233" width="10.28515625" customWidth="1"/>
    <col min="9235" max="9235" width="50.42578125" customWidth="1"/>
    <col min="9473" max="9473" width="3.42578125" customWidth="1"/>
    <col min="9479" max="9479" width="10" customWidth="1"/>
    <col min="9481" max="9481" width="55.85546875" customWidth="1"/>
    <col min="9482" max="9482" width="0.42578125" customWidth="1"/>
    <col min="9483" max="9483" width="4.42578125" customWidth="1"/>
    <col min="9489" max="9489" width="10.28515625" customWidth="1"/>
    <col min="9491" max="9491" width="50.42578125" customWidth="1"/>
    <col min="9729" max="9729" width="3.42578125" customWidth="1"/>
    <col min="9735" max="9735" width="10" customWidth="1"/>
    <col min="9737" max="9737" width="55.85546875" customWidth="1"/>
    <col min="9738" max="9738" width="0.42578125" customWidth="1"/>
    <col min="9739" max="9739" width="4.42578125" customWidth="1"/>
    <col min="9745" max="9745" width="10.28515625" customWidth="1"/>
    <col min="9747" max="9747" width="50.42578125" customWidth="1"/>
    <col min="9985" max="9985" width="3.42578125" customWidth="1"/>
    <col min="9991" max="9991" width="10" customWidth="1"/>
    <col min="9993" max="9993" width="55.85546875" customWidth="1"/>
    <col min="9994" max="9994" width="0.42578125" customWidth="1"/>
    <col min="9995" max="9995" width="4.42578125" customWidth="1"/>
    <col min="10001" max="10001" width="10.28515625" customWidth="1"/>
    <col min="10003" max="10003" width="50.42578125" customWidth="1"/>
    <col min="10241" max="10241" width="3.42578125" customWidth="1"/>
    <col min="10247" max="10247" width="10" customWidth="1"/>
    <col min="10249" max="10249" width="55.85546875" customWidth="1"/>
    <col min="10250" max="10250" width="0.42578125" customWidth="1"/>
    <col min="10251" max="10251" width="4.42578125" customWidth="1"/>
    <col min="10257" max="10257" width="10.28515625" customWidth="1"/>
    <col min="10259" max="10259" width="50.42578125" customWidth="1"/>
    <col min="10497" max="10497" width="3.42578125" customWidth="1"/>
    <col min="10503" max="10503" width="10" customWidth="1"/>
    <col min="10505" max="10505" width="55.85546875" customWidth="1"/>
    <col min="10506" max="10506" width="0.42578125" customWidth="1"/>
    <col min="10507" max="10507" width="4.42578125" customWidth="1"/>
    <col min="10513" max="10513" width="10.28515625" customWidth="1"/>
    <col min="10515" max="10515" width="50.42578125" customWidth="1"/>
    <col min="10753" max="10753" width="3.42578125" customWidth="1"/>
    <col min="10759" max="10759" width="10" customWidth="1"/>
    <col min="10761" max="10761" width="55.85546875" customWidth="1"/>
    <col min="10762" max="10762" width="0.42578125" customWidth="1"/>
    <col min="10763" max="10763" width="4.42578125" customWidth="1"/>
    <col min="10769" max="10769" width="10.28515625" customWidth="1"/>
    <col min="10771" max="10771" width="50.42578125" customWidth="1"/>
    <col min="11009" max="11009" width="3.42578125" customWidth="1"/>
    <col min="11015" max="11015" width="10" customWidth="1"/>
    <col min="11017" max="11017" width="55.85546875" customWidth="1"/>
    <col min="11018" max="11018" width="0.42578125" customWidth="1"/>
    <col min="11019" max="11019" width="4.42578125" customWidth="1"/>
    <col min="11025" max="11025" width="10.28515625" customWidth="1"/>
    <col min="11027" max="11027" width="50.42578125" customWidth="1"/>
    <col min="11265" max="11265" width="3.42578125" customWidth="1"/>
    <col min="11271" max="11271" width="10" customWidth="1"/>
    <col min="11273" max="11273" width="55.85546875" customWidth="1"/>
    <col min="11274" max="11274" width="0.42578125" customWidth="1"/>
    <col min="11275" max="11275" width="4.42578125" customWidth="1"/>
    <col min="11281" max="11281" width="10.28515625" customWidth="1"/>
    <col min="11283" max="11283" width="50.42578125" customWidth="1"/>
    <col min="11521" max="11521" width="3.42578125" customWidth="1"/>
    <col min="11527" max="11527" width="10" customWidth="1"/>
    <col min="11529" max="11529" width="55.85546875" customWidth="1"/>
    <col min="11530" max="11530" width="0.42578125" customWidth="1"/>
    <col min="11531" max="11531" width="4.42578125" customWidth="1"/>
    <col min="11537" max="11537" width="10.28515625" customWidth="1"/>
    <col min="11539" max="11539" width="50.42578125" customWidth="1"/>
    <col min="11777" max="11777" width="3.42578125" customWidth="1"/>
    <col min="11783" max="11783" width="10" customWidth="1"/>
    <col min="11785" max="11785" width="55.85546875" customWidth="1"/>
    <col min="11786" max="11786" width="0.42578125" customWidth="1"/>
    <col min="11787" max="11787" width="4.42578125" customWidth="1"/>
    <col min="11793" max="11793" width="10.28515625" customWidth="1"/>
    <col min="11795" max="11795" width="50.42578125" customWidth="1"/>
    <col min="12033" max="12033" width="3.42578125" customWidth="1"/>
    <col min="12039" max="12039" width="10" customWidth="1"/>
    <col min="12041" max="12041" width="55.85546875" customWidth="1"/>
    <col min="12042" max="12042" width="0.42578125" customWidth="1"/>
    <col min="12043" max="12043" width="4.42578125" customWidth="1"/>
    <col min="12049" max="12049" width="10.28515625" customWidth="1"/>
    <col min="12051" max="12051" width="50.42578125" customWidth="1"/>
    <col min="12289" max="12289" width="3.42578125" customWidth="1"/>
    <col min="12295" max="12295" width="10" customWidth="1"/>
    <col min="12297" max="12297" width="55.85546875" customWidth="1"/>
    <col min="12298" max="12298" width="0.42578125" customWidth="1"/>
    <col min="12299" max="12299" width="4.42578125" customWidth="1"/>
    <col min="12305" max="12305" width="10.28515625" customWidth="1"/>
    <col min="12307" max="12307" width="50.42578125" customWidth="1"/>
    <col min="12545" max="12545" width="3.42578125" customWidth="1"/>
    <col min="12551" max="12551" width="10" customWidth="1"/>
    <col min="12553" max="12553" width="55.85546875" customWidth="1"/>
    <col min="12554" max="12554" width="0.42578125" customWidth="1"/>
    <col min="12555" max="12555" width="4.42578125" customWidth="1"/>
    <col min="12561" max="12561" width="10.28515625" customWidth="1"/>
    <col min="12563" max="12563" width="50.42578125" customWidth="1"/>
    <col min="12801" max="12801" width="3.42578125" customWidth="1"/>
    <col min="12807" max="12807" width="10" customWidth="1"/>
    <col min="12809" max="12809" width="55.85546875" customWidth="1"/>
    <col min="12810" max="12810" width="0.42578125" customWidth="1"/>
    <col min="12811" max="12811" width="4.42578125" customWidth="1"/>
    <col min="12817" max="12817" width="10.28515625" customWidth="1"/>
    <col min="12819" max="12819" width="50.42578125" customWidth="1"/>
    <col min="13057" max="13057" width="3.42578125" customWidth="1"/>
    <col min="13063" max="13063" width="10" customWidth="1"/>
    <col min="13065" max="13065" width="55.85546875" customWidth="1"/>
    <col min="13066" max="13066" width="0.42578125" customWidth="1"/>
    <col min="13067" max="13067" width="4.42578125" customWidth="1"/>
    <col min="13073" max="13073" width="10.28515625" customWidth="1"/>
    <col min="13075" max="13075" width="50.42578125" customWidth="1"/>
    <col min="13313" max="13313" width="3.42578125" customWidth="1"/>
    <col min="13319" max="13319" width="10" customWidth="1"/>
    <col min="13321" max="13321" width="55.85546875" customWidth="1"/>
    <col min="13322" max="13322" width="0.42578125" customWidth="1"/>
    <col min="13323" max="13323" width="4.42578125" customWidth="1"/>
    <col min="13329" max="13329" width="10.28515625" customWidth="1"/>
    <col min="13331" max="13331" width="50.42578125" customWidth="1"/>
    <col min="13569" max="13569" width="3.42578125" customWidth="1"/>
    <col min="13575" max="13575" width="10" customWidth="1"/>
    <col min="13577" max="13577" width="55.85546875" customWidth="1"/>
    <col min="13578" max="13578" width="0.42578125" customWidth="1"/>
    <col min="13579" max="13579" width="4.42578125" customWidth="1"/>
    <col min="13585" max="13585" width="10.28515625" customWidth="1"/>
    <col min="13587" max="13587" width="50.42578125" customWidth="1"/>
    <col min="13825" max="13825" width="3.42578125" customWidth="1"/>
    <col min="13831" max="13831" width="10" customWidth="1"/>
    <col min="13833" max="13833" width="55.85546875" customWidth="1"/>
    <col min="13834" max="13834" width="0.42578125" customWidth="1"/>
    <col min="13835" max="13835" width="4.42578125" customWidth="1"/>
    <col min="13841" max="13841" width="10.28515625" customWidth="1"/>
    <col min="13843" max="13843" width="50.42578125" customWidth="1"/>
    <col min="14081" max="14081" width="3.42578125" customWidth="1"/>
    <col min="14087" max="14087" width="10" customWidth="1"/>
    <col min="14089" max="14089" width="55.85546875" customWidth="1"/>
    <col min="14090" max="14090" width="0.42578125" customWidth="1"/>
    <col min="14091" max="14091" width="4.42578125" customWidth="1"/>
    <col min="14097" max="14097" width="10.28515625" customWidth="1"/>
    <col min="14099" max="14099" width="50.42578125" customWidth="1"/>
    <col min="14337" max="14337" width="3.42578125" customWidth="1"/>
    <col min="14343" max="14343" width="10" customWidth="1"/>
    <col min="14345" max="14345" width="55.85546875" customWidth="1"/>
    <col min="14346" max="14346" width="0.42578125" customWidth="1"/>
    <col min="14347" max="14347" width="4.42578125" customWidth="1"/>
    <col min="14353" max="14353" width="10.28515625" customWidth="1"/>
    <col min="14355" max="14355" width="50.42578125" customWidth="1"/>
    <col min="14593" max="14593" width="3.42578125" customWidth="1"/>
    <col min="14599" max="14599" width="10" customWidth="1"/>
    <col min="14601" max="14601" width="55.85546875" customWidth="1"/>
    <col min="14602" max="14602" width="0.42578125" customWidth="1"/>
    <col min="14603" max="14603" width="4.42578125" customWidth="1"/>
    <col min="14609" max="14609" width="10.28515625" customWidth="1"/>
    <col min="14611" max="14611" width="50.42578125" customWidth="1"/>
    <col min="14849" max="14849" width="3.42578125" customWidth="1"/>
    <col min="14855" max="14855" width="10" customWidth="1"/>
    <col min="14857" max="14857" width="55.85546875" customWidth="1"/>
    <col min="14858" max="14858" width="0.42578125" customWidth="1"/>
    <col min="14859" max="14859" width="4.42578125" customWidth="1"/>
    <col min="14865" max="14865" width="10.28515625" customWidth="1"/>
    <col min="14867" max="14867" width="50.42578125" customWidth="1"/>
    <col min="15105" max="15105" width="3.42578125" customWidth="1"/>
    <col min="15111" max="15111" width="10" customWidth="1"/>
    <col min="15113" max="15113" width="55.85546875" customWidth="1"/>
    <col min="15114" max="15114" width="0.42578125" customWidth="1"/>
    <col min="15115" max="15115" width="4.42578125" customWidth="1"/>
    <col min="15121" max="15121" width="10.28515625" customWidth="1"/>
    <col min="15123" max="15123" width="50.42578125" customWidth="1"/>
    <col min="15361" max="15361" width="3.42578125" customWidth="1"/>
    <col min="15367" max="15367" width="10" customWidth="1"/>
    <col min="15369" max="15369" width="55.85546875" customWidth="1"/>
    <col min="15370" max="15370" width="0.42578125" customWidth="1"/>
    <col min="15371" max="15371" width="4.42578125" customWidth="1"/>
    <col min="15377" max="15377" width="10.28515625" customWidth="1"/>
    <col min="15379" max="15379" width="50.42578125" customWidth="1"/>
    <col min="15617" max="15617" width="3.42578125" customWidth="1"/>
    <col min="15623" max="15623" width="10" customWidth="1"/>
    <col min="15625" max="15625" width="55.85546875" customWidth="1"/>
    <col min="15626" max="15626" width="0.42578125" customWidth="1"/>
    <col min="15627" max="15627" width="4.42578125" customWidth="1"/>
    <col min="15633" max="15633" width="10.28515625" customWidth="1"/>
    <col min="15635" max="15635" width="50.42578125" customWidth="1"/>
    <col min="15873" max="15873" width="3.42578125" customWidth="1"/>
    <col min="15879" max="15879" width="10" customWidth="1"/>
    <col min="15881" max="15881" width="55.85546875" customWidth="1"/>
    <col min="15882" max="15882" width="0.42578125" customWidth="1"/>
    <col min="15883" max="15883" width="4.42578125" customWidth="1"/>
    <col min="15889" max="15889" width="10.28515625" customWidth="1"/>
    <col min="15891" max="15891" width="50.42578125" customWidth="1"/>
    <col min="16129" max="16129" width="3.42578125" customWidth="1"/>
    <col min="16135" max="16135" width="10" customWidth="1"/>
    <col min="16137" max="16137" width="55.85546875" customWidth="1"/>
    <col min="16138" max="16138" width="0.42578125" customWidth="1"/>
    <col min="16139" max="16139" width="4.42578125" customWidth="1"/>
    <col min="16145" max="16145" width="10.28515625" customWidth="1"/>
    <col min="16147" max="16147" width="50.4257812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348</v>
      </c>
      <c r="E2" s="3"/>
      <c r="F2" s="3"/>
      <c r="G2" s="3"/>
      <c r="H2" s="3"/>
      <c r="I2" s="3"/>
      <c r="K2" s="3" t="s">
        <v>205</v>
      </c>
      <c r="L2" s="3"/>
      <c r="M2" s="3"/>
      <c r="N2" s="3" t="s">
        <v>349</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f>'[1]ж-2.2'!$G$9</f>
        <v>4426.8999999999996</v>
      </c>
      <c r="G4" s="3" t="s">
        <v>207</v>
      </c>
      <c r="H4" s="3"/>
      <c r="I4" s="3"/>
      <c r="J4" s="3"/>
      <c r="K4" s="3"/>
      <c r="L4" s="5" t="s">
        <v>206</v>
      </c>
      <c r="M4" s="3"/>
      <c r="N4" s="3"/>
      <c r="O4" s="3"/>
      <c r="P4" s="3">
        <f>'[1]ж-2.2'!$H$9</f>
        <v>3278.7</v>
      </c>
      <c r="Q4" s="3" t="s">
        <v>207</v>
      </c>
      <c r="R4" s="3"/>
      <c r="S4" s="3"/>
    </row>
    <row r="5" spans="1:19" ht="15" customHeight="1" x14ac:dyDescent="0.25">
      <c r="A5" s="175" t="s">
        <v>209</v>
      </c>
      <c r="B5" s="177" t="s">
        <v>210</v>
      </c>
      <c r="C5" s="178"/>
      <c r="D5" s="178"/>
      <c r="E5" s="178"/>
      <c r="F5" s="178"/>
      <c r="G5" s="180" t="s">
        <v>442</v>
      </c>
      <c r="H5" s="181"/>
      <c r="I5" s="175" t="s">
        <v>212</v>
      </c>
      <c r="J5" s="31"/>
      <c r="K5" s="175" t="s">
        <v>209</v>
      </c>
      <c r="L5" s="177" t="s">
        <v>210</v>
      </c>
      <c r="M5" s="178"/>
      <c r="N5" s="178"/>
      <c r="O5" s="178"/>
      <c r="P5" s="178"/>
      <c r="Q5" s="180" t="s">
        <v>442</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64846.26</v>
      </c>
      <c r="H7" s="191"/>
      <c r="I7" s="192"/>
      <c r="J7" s="33"/>
      <c r="K7" s="185" t="s">
        <v>213</v>
      </c>
      <c r="L7" s="187" t="s">
        <v>354</v>
      </c>
      <c r="M7" s="188"/>
      <c r="N7" s="188"/>
      <c r="O7" s="188"/>
      <c r="P7" s="188"/>
      <c r="Q7" s="190">
        <v>28586.51</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1.89*12*F4</f>
        <v>100402.09199999999</v>
      </c>
      <c r="H9" s="164"/>
      <c r="I9" s="169" t="s">
        <v>215</v>
      </c>
      <c r="J9" s="35"/>
      <c r="K9" s="6"/>
      <c r="L9" s="161" t="s">
        <v>214</v>
      </c>
      <c r="M9" s="162"/>
      <c r="N9" s="162"/>
      <c r="O9" s="162"/>
      <c r="P9" s="162"/>
      <c r="Q9" s="163">
        <f>1.79*12*P4</f>
        <v>70426.475999999995</v>
      </c>
      <c r="R9" s="164"/>
      <c r="S9" s="169" t="s">
        <v>215</v>
      </c>
    </row>
    <row r="10" spans="1:19" ht="33"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8"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18" customHeight="1" thickBot="1" x14ac:dyDescent="0.3">
      <c r="A13" s="7"/>
      <c r="B13" s="141" t="s">
        <v>221</v>
      </c>
      <c r="C13" s="142"/>
      <c r="D13" s="142"/>
      <c r="E13" s="142"/>
      <c r="F13" s="142"/>
      <c r="G13" s="143">
        <f>0.474*12*F4</f>
        <v>25180.207199999997</v>
      </c>
      <c r="H13" s="144"/>
      <c r="I13" s="8" t="s">
        <v>222</v>
      </c>
      <c r="J13" s="38"/>
      <c r="K13" s="7"/>
      <c r="L13" s="141" t="s">
        <v>221</v>
      </c>
      <c r="M13" s="142"/>
      <c r="N13" s="142"/>
      <c r="O13" s="142"/>
      <c r="P13" s="142"/>
      <c r="Q13" s="143">
        <f>0.474*12*P4</f>
        <v>18649.245599999998</v>
      </c>
      <c r="R13" s="144"/>
      <c r="S13" s="8" t="s">
        <v>222</v>
      </c>
    </row>
    <row r="14" spans="1:19" ht="13.5" customHeight="1" x14ac:dyDescent="0.25">
      <c r="A14" s="9"/>
      <c r="B14" s="145" t="s">
        <v>223</v>
      </c>
      <c r="C14" s="146"/>
      <c r="D14" s="146"/>
      <c r="E14" s="146"/>
      <c r="F14" s="146"/>
      <c r="G14" s="86">
        <f>2.191*12*F4</f>
        <v>116392.05479999998</v>
      </c>
      <c r="H14" s="147"/>
      <c r="I14" s="152" t="s">
        <v>224</v>
      </c>
      <c r="J14" s="38"/>
      <c r="K14" s="9"/>
      <c r="L14" s="145" t="s">
        <v>223</v>
      </c>
      <c r="M14" s="146"/>
      <c r="N14" s="146"/>
      <c r="O14" s="146"/>
      <c r="P14" s="146"/>
      <c r="Q14" s="86">
        <f>2.29*12*P4</f>
        <v>90098.675999999992</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0.048*12*F4</f>
        <v>2549.8944000000001</v>
      </c>
      <c r="H18" s="87"/>
      <c r="I18" s="129" t="s">
        <v>220</v>
      </c>
      <c r="J18" s="36"/>
      <c r="K18" s="12"/>
      <c r="L18" s="125" t="s">
        <v>230</v>
      </c>
      <c r="M18" s="126"/>
      <c r="N18" s="126"/>
      <c r="O18" s="126"/>
      <c r="P18" s="126"/>
      <c r="Q18" s="86">
        <f>0.048*12*P4</f>
        <v>1888.5312000000001</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29.45" customHeight="1" thickBot="1" x14ac:dyDescent="0.3">
      <c r="A21" s="13"/>
      <c r="B21" s="84" t="s">
        <v>233</v>
      </c>
      <c r="C21" s="85"/>
      <c r="D21" s="85"/>
      <c r="E21" s="85"/>
      <c r="F21" s="85"/>
      <c r="G21" s="86">
        <f>1.75*12*F4</f>
        <v>92964.9</v>
      </c>
      <c r="H21" s="87"/>
      <c r="I21" s="92" t="s">
        <v>575</v>
      </c>
      <c r="J21" s="41"/>
      <c r="K21" s="13"/>
      <c r="L21" s="84" t="s">
        <v>233</v>
      </c>
      <c r="M21" s="85"/>
      <c r="N21" s="85"/>
      <c r="O21" s="85"/>
      <c r="P21" s="85"/>
      <c r="Q21" s="86">
        <f>1.85*12*P4</f>
        <v>72787.14</v>
      </c>
      <c r="R21" s="87"/>
      <c r="S21" s="92" t="s">
        <v>577</v>
      </c>
    </row>
    <row r="22" spans="1:19" ht="40.5" customHeight="1" x14ac:dyDescent="0.25">
      <c r="A22" s="118"/>
      <c r="B22" s="121" t="s">
        <v>226</v>
      </c>
      <c r="C22" s="122"/>
      <c r="D22" s="122"/>
      <c r="E22" s="122"/>
      <c r="F22" s="122"/>
      <c r="G22" s="88"/>
      <c r="H22" s="89"/>
      <c r="I22" s="93"/>
      <c r="J22" s="41"/>
      <c r="K22" s="118"/>
      <c r="L22" s="121" t="s">
        <v>226</v>
      </c>
      <c r="M22" s="122"/>
      <c r="N22" s="122"/>
      <c r="O22" s="122"/>
      <c r="P22" s="122"/>
      <c r="Q22" s="88"/>
      <c r="R22" s="89"/>
      <c r="S22" s="93"/>
    </row>
    <row r="23" spans="1:19" ht="33.75" customHeight="1" x14ac:dyDescent="0.25">
      <c r="A23" s="119"/>
      <c r="B23" s="121" t="s">
        <v>227</v>
      </c>
      <c r="C23" s="122"/>
      <c r="D23" s="122"/>
      <c r="E23" s="122"/>
      <c r="F23" s="122"/>
      <c r="G23" s="88"/>
      <c r="H23" s="89"/>
      <c r="I23" s="93"/>
      <c r="J23" s="42"/>
      <c r="K23" s="119"/>
      <c r="L23" s="121" t="s">
        <v>227</v>
      </c>
      <c r="M23" s="122"/>
      <c r="N23" s="122"/>
      <c r="O23" s="122"/>
      <c r="P23" s="122"/>
      <c r="Q23" s="88"/>
      <c r="R23" s="89"/>
      <c r="S23" s="93"/>
    </row>
    <row r="24" spans="1:19" ht="42" customHeight="1" x14ac:dyDescent="0.25">
      <c r="A24" s="119"/>
      <c r="B24" s="121" t="s">
        <v>228</v>
      </c>
      <c r="C24" s="122"/>
      <c r="D24" s="122"/>
      <c r="E24" s="122"/>
      <c r="F24" s="122"/>
      <c r="G24" s="88"/>
      <c r="H24" s="89"/>
      <c r="I24" s="93"/>
      <c r="J24" s="43"/>
      <c r="K24" s="119"/>
      <c r="L24" s="121" t="s">
        <v>228</v>
      </c>
      <c r="M24" s="122"/>
      <c r="N24" s="122"/>
      <c r="O24" s="122"/>
      <c r="P24" s="122"/>
      <c r="Q24" s="88"/>
      <c r="R24" s="89"/>
      <c r="S24" s="93"/>
    </row>
    <row r="25" spans="1:19" ht="46.5" customHeight="1" thickBot="1" x14ac:dyDescent="0.3">
      <c r="A25" s="120"/>
      <c r="B25" s="123" t="s">
        <v>234</v>
      </c>
      <c r="C25" s="124"/>
      <c r="D25" s="124"/>
      <c r="E25" s="124"/>
      <c r="F25" s="124"/>
      <c r="G25" s="90"/>
      <c r="H25" s="91"/>
      <c r="I25" s="94"/>
      <c r="J25" s="44"/>
      <c r="K25" s="120"/>
      <c r="L25" s="123" t="s">
        <v>234</v>
      </c>
      <c r="M25" s="124"/>
      <c r="N25" s="124"/>
      <c r="O25" s="124"/>
      <c r="P25" s="124"/>
      <c r="Q25" s="90"/>
      <c r="R25" s="91"/>
      <c r="S25" s="94"/>
    </row>
    <row r="26" spans="1:19" ht="0.75" hidden="1" customHeight="1" x14ac:dyDescent="0.25">
      <c r="A26" s="15"/>
      <c r="B26" s="137" t="s">
        <v>248</v>
      </c>
      <c r="C26" s="138"/>
      <c r="D26" s="138"/>
      <c r="E26" s="138"/>
      <c r="F26" s="138"/>
      <c r="G26" s="139"/>
      <c r="H26" s="140"/>
      <c r="I26" s="16"/>
      <c r="J26" s="40"/>
      <c r="K26" s="15"/>
      <c r="L26" s="137" t="s">
        <v>248</v>
      </c>
      <c r="M26" s="138"/>
      <c r="N26" s="138"/>
      <c r="O26" s="138"/>
      <c r="P26" s="138"/>
      <c r="Q26" s="139"/>
      <c r="R26" s="140"/>
      <c r="S26" s="16"/>
    </row>
    <row r="27" spans="1:19" ht="29.25" hidden="1" customHeight="1" x14ac:dyDescent="0.25">
      <c r="A27" s="15"/>
      <c r="B27" s="137" t="s">
        <v>235</v>
      </c>
      <c r="C27" s="138"/>
      <c r="D27" s="138"/>
      <c r="E27" s="138"/>
      <c r="F27" s="138"/>
      <c r="G27" s="139"/>
      <c r="H27" s="140"/>
      <c r="I27" s="16"/>
      <c r="J27" s="45"/>
      <c r="K27" s="15"/>
      <c r="L27" s="137" t="s">
        <v>235</v>
      </c>
      <c r="M27" s="138"/>
      <c r="N27" s="138"/>
      <c r="O27" s="138"/>
      <c r="P27" s="138"/>
      <c r="Q27" s="139"/>
      <c r="R27" s="140"/>
      <c r="S27" s="16"/>
    </row>
    <row r="28" spans="1:19" ht="39" customHeight="1" thickBot="1" x14ac:dyDescent="0.3">
      <c r="A28" s="17"/>
      <c r="B28" s="78" t="s">
        <v>237</v>
      </c>
      <c r="C28" s="79"/>
      <c r="D28" s="79"/>
      <c r="E28" s="79"/>
      <c r="F28" s="79"/>
      <c r="G28" s="86">
        <v>6374</v>
      </c>
      <c r="H28" s="87"/>
      <c r="I28" s="108" t="s">
        <v>229</v>
      </c>
      <c r="J28" s="41"/>
      <c r="K28" s="17"/>
      <c r="L28" s="78" t="s">
        <v>237</v>
      </c>
      <c r="M28" s="79"/>
      <c r="N28" s="79"/>
      <c r="O28" s="79"/>
      <c r="P28" s="79"/>
      <c r="Q28" s="86">
        <v>3900</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343863.14839999995</v>
      </c>
      <c r="H30" s="115"/>
      <c r="I30" s="20"/>
      <c r="J30" s="47"/>
      <c r="K30" s="19"/>
      <c r="L30" s="112" t="s">
        <v>239</v>
      </c>
      <c r="M30" s="113"/>
      <c r="N30" s="113"/>
      <c r="O30" s="113"/>
      <c r="P30" s="113"/>
      <c r="Q30" s="114">
        <f>SUM(Q9:R29)</f>
        <v>257750.06879999995</v>
      </c>
      <c r="R30" s="115"/>
      <c r="S30" s="20"/>
    </row>
    <row r="31" spans="1:19" ht="22.5" customHeight="1" thickBot="1" x14ac:dyDescent="0.3">
      <c r="A31" s="21"/>
      <c r="B31" s="101" t="s">
        <v>240</v>
      </c>
      <c r="C31" s="102"/>
      <c r="D31" s="102"/>
      <c r="E31" s="102"/>
      <c r="F31" s="102"/>
      <c r="G31" s="116">
        <f>G30*1.2</f>
        <v>412635.7780799999</v>
      </c>
      <c r="H31" s="117"/>
      <c r="I31" s="22"/>
      <c r="J31" s="47"/>
      <c r="K31" s="21"/>
      <c r="L31" s="101" t="s">
        <v>240</v>
      </c>
      <c r="M31" s="102"/>
      <c r="N31" s="102"/>
      <c r="O31" s="102"/>
      <c r="P31" s="102"/>
      <c r="Q31" s="116">
        <f>Q30*1.2</f>
        <v>309300.08255999995</v>
      </c>
      <c r="R31" s="117"/>
      <c r="S31" s="22"/>
    </row>
    <row r="32" spans="1:19" ht="22.5" customHeight="1" thickBot="1" x14ac:dyDescent="0.3">
      <c r="A32" s="24"/>
      <c r="B32" s="96" t="s">
        <v>443</v>
      </c>
      <c r="C32" s="97"/>
      <c r="D32" s="97"/>
      <c r="E32" s="97"/>
      <c r="F32" s="97"/>
      <c r="G32" s="311">
        <v>428771.18</v>
      </c>
      <c r="H32" s="312"/>
      <c r="I32" s="313"/>
      <c r="J32" s="47"/>
      <c r="K32" s="24"/>
      <c r="L32" s="96" t="s">
        <v>443</v>
      </c>
      <c r="M32" s="97"/>
      <c r="N32" s="97"/>
      <c r="O32" s="97"/>
      <c r="P32" s="97"/>
      <c r="Q32" s="311">
        <v>315113.58</v>
      </c>
      <c r="R32" s="312"/>
      <c r="S32" s="313"/>
    </row>
    <row r="33" spans="1:19" ht="22.5" customHeight="1" thickBot="1" x14ac:dyDescent="0.3">
      <c r="A33" s="19"/>
      <c r="B33" s="101" t="s">
        <v>242</v>
      </c>
      <c r="C33" s="102"/>
      <c r="D33" s="102"/>
      <c r="E33" s="102"/>
      <c r="F33" s="102"/>
      <c r="G33" s="307">
        <v>414446.96</v>
      </c>
      <c r="H33" s="308"/>
      <c r="I33" s="309"/>
      <c r="J33" s="48"/>
      <c r="K33" s="19"/>
      <c r="L33" s="101" t="s">
        <v>242</v>
      </c>
      <c r="M33" s="102"/>
      <c r="N33" s="102"/>
      <c r="O33" s="102"/>
      <c r="P33" s="102"/>
      <c r="Q33" s="307">
        <v>312145.74</v>
      </c>
      <c r="R33" s="308"/>
      <c r="S33" s="309"/>
    </row>
    <row r="34" spans="1:19" ht="22.5" customHeight="1" thickBot="1" x14ac:dyDescent="0.3">
      <c r="A34" s="19"/>
      <c r="B34" s="106" t="s">
        <v>444</v>
      </c>
      <c r="C34" s="107"/>
      <c r="D34" s="107"/>
      <c r="E34" s="107"/>
      <c r="F34" s="107"/>
      <c r="G34" s="307">
        <v>79170.48</v>
      </c>
      <c r="H34" s="308"/>
      <c r="I34" s="309"/>
      <c r="J34" s="49"/>
      <c r="K34" s="19"/>
      <c r="L34" s="106" t="s">
        <v>444</v>
      </c>
      <c r="M34" s="107"/>
      <c r="N34" s="107"/>
      <c r="O34" s="107"/>
      <c r="P34" s="107"/>
      <c r="Q34" s="307">
        <v>31554.35</v>
      </c>
      <c r="R34" s="308"/>
      <c r="S34" s="309"/>
    </row>
    <row r="35" spans="1:19" ht="27.75" customHeight="1" x14ac:dyDescent="0.25">
      <c r="A35" s="195"/>
      <c r="B35" s="162"/>
      <c r="C35" s="162"/>
      <c r="D35" s="162"/>
      <c r="E35" s="162"/>
      <c r="F35" s="162"/>
      <c r="G35" s="162"/>
      <c r="H35" s="162"/>
      <c r="I35" s="162"/>
      <c r="K35" s="4"/>
      <c r="L35" s="195" t="s">
        <v>576</v>
      </c>
      <c r="M35" s="195"/>
      <c r="N35" s="195"/>
      <c r="O35" s="195"/>
      <c r="P35" s="195"/>
      <c r="Q35" s="195"/>
      <c r="R35" s="195"/>
      <c r="S35" s="195"/>
    </row>
    <row r="36" spans="1:19" x14ac:dyDescent="0.25">
      <c r="E36" s="50"/>
      <c r="I36" s="5"/>
      <c r="O36" s="50"/>
      <c r="S36" s="5"/>
    </row>
    <row r="37" spans="1:19" x14ac:dyDescent="0.25">
      <c r="A37" s="3"/>
      <c r="I37" s="5"/>
      <c r="K37" s="3"/>
      <c r="S37" s="5"/>
    </row>
    <row r="38" spans="1:19" ht="15.75" x14ac:dyDescent="0.25">
      <c r="A38" s="30"/>
      <c r="C38" s="30"/>
      <c r="K38" s="30"/>
      <c r="N38" s="30"/>
    </row>
    <row r="39" spans="1:19" ht="15.75" x14ac:dyDescent="0.25">
      <c r="A39" s="30"/>
      <c r="C39" s="30"/>
      <c r="K39" s="30"/>
      <c r="N39" s="30"/>
    </row>
    <row r="40" spans="1:19" x14ac:dyDescent="0.25">
      <c r="A40" s="3"/>
      <c r="B40" s="3"/>
      <c r="C40" s="3"/>
      <c r="D40" s="3"/>
      <c r="E40" s="4" t="s">
        <v>204</v>
      </c>
      <c r="F40" s="3"/>
      <c r="G40" s="3"/>
      <c r="H40" s="3"/>
      <c r="I40" s="3"/>
      <c r="K40" s="3"/>
      <c r="L40" s="3"/>
      <c r="M40" s="3"/>
      <c r="N40" s="3"/>
      <c r="O40" s="4" t="s">
        <v>204</v>
      </c>
      <c r="P40" s="3"/>
      <c r="Q40" s="3"/>
      <c r="R40" s="3"/>
      <c r="S40" s="3"/>
    </row>
    <row r="41" spans="1:19" x14ac:dyDescent="0.25">
      <c r="A41" s="3" t="s">
        <v>205</v>
      </c>
      <c r="B41" s="3"/>
      <c r="C41" s="3"/>
      <c r="D41" s="3" t="s">
        <v>350</v>
      </c>
      <c r="E41" s="3"/>
      <c r="F41" s="3"/>
      <c r="G41" s="3"/>
      <c r="H41" s="3"/>
      <c r="I41" s="3"/>
      <c r="K41" s="3" t="s">
        <v>205</v>
      </c>
      <c r="L41" s="3"/>
      <c r="M41" s="3"/>
      <c r="N41" s="3" t="s">
        <v>351</v>
      </c>
      <c r="O41" s="3"/>
      <c r="P41" s="3"/>
      <c r="Q41" s="3"/>
      <c r="R41" s="3"/>
      <c r="S41" s="3"/>
    </row>
    <row r="42" spans="1:19" x14ac:dyDescent="0.25">
      <c r="A42" s="3"/>
      <c r="B42" s="5" t="s">
        <v>440</v>
      </c>
      <c r="C42" s="3"/>
      <c r="D42" s="3"/>
      <c r="E42" s="3"/>
      <c r="F42" s="3"/>
      <c r="G42" s="3"/>
      <c r="H42" s="3"/>
      <c r="I42" s="3"/>
      <c r="J42" s="3"/>
      <c r="K42" s="3"/>
      <c r="L42" s="5" t="s">
        <v>440</v>
      </c>
      <c r="M42" s="3"/>
      <c r="N42" s="3"/>
      <c r="O42" s="3"/>
      <c r="P42" s="3"/>
      <c r="Q42" s="3"/>
      <c r="R42" s="3"/>
      <c r="S42" s="3"/>
    </row>
    <row r="43" spans="1:19" ht="15.75" thickBot="1" x14ac:dyDescent="0.3">
      <c r="A43" s="3"/>
      <c r="B43" s="5" t="s">
        <v>206</v>
      </c>
      <c r="C43" s="3"/>
      <c r="D43" s="3"/>
      <c r="E43" s="3"/>
      <c r="F43" s="3">
        <f>'[1]ж-2.2'!$I$9</f>
        <v>3204</v>
      </c>
      <c r="G43" s="3" t="s">
        <v>207</v>
      </c>
      <c r="H43" s="3"/>
      <c r="I43" s="3"/>
      <c r="J43" s="3"/>
      <c r="K43" s="3"/>
      <c r="L43" s="5" t="s">
        <v>206</v>
      </c>
      <c r="M43" s="3"/>
      <c r="N43" s="3"/>
      <c r="O43" s="3"/>
      <c r="P43" s="3">
        <f>'[1]ж-2.2'!$J$9</f>
        <v>3006.5</v>
      </c>
      <c r="Q43" s="3" t="s">
        <v>207</v>
      </c>
      <c r="R43" s="3"/>
      <c r="S43" s="3"/>
    </row>
    <row r="44" spans="1:19" ht="15" customHeight="1" x14ac:dyDescent="0.25">
      <c r="A44" s="175" t="s">
        <v>209</v>
      </c>
      <c r="B44" s="177" t="s">
        <v>210</v>
      </c>
      <c r="C44" s="178"/>
      <c r="D44" s="178"/>
      <c r="E44" s="178"/>
      <c r="F44" s="178"/>
      <c r="G44" s="180" t="s">
        <v>442</v>
      </c>
      <c r="H44" s="181"/>
      <c r="I44" s="175" t="s">
        <v>212</v>
      </c>
      <c r="J44" s="51"/>
      <c r="K44" s="175" t="s">
        <v>209</v>
      </c>
      <c r="L44" s="177" t="s">
        <v>210</v>
      </c>
      <c r="M44" s="178"/>
      <c r="N44" s="178"/>
      <c r="O44" s="178"/>
      <c r="P44" s="178"/>
      <c r="Q44" s="180" t="s">
        <v>442</v>
      </c>
      <c r="R44" s="181"/>
      <c r="S44" s="175" t="s">
        <v>212</v>
      </c>
    </row>
    <row r="45" spans="1:19" ht="69" customHeight="1" thickBot="1" x14ac:dyDescent="0.3">
      <c r="A45" s="176"/>
      <c r="B45" s="179"/>
      <c r="C45" s="179"/>
      <c r="D45" s="179"/>
      <c r="E45" s="179"/>
      <c r="F45" s="179"/>
      <c r="G45" s="182"/>
      <c r="H45" s="183"/>
      <c r="I45" s="184"/>
      <c r="J45" s="52"/>
      <c r="K45" s="176"/>
      <c r="L45" s="179"/>
      <c r="M45" s="179"/>
      <c r="N45" s="179"/>
      <c r="O45" s="179"/>
      <c r="P45" s="179"/>
      <c r="Q45" s="182"/>
      <c r="R45" s="183"/>
      <c r="S45" s="184"/>
    </row>
    <row r="46" spans="1:19" ht="15" customHeight="1" x14ac:dyDescent="0.25">
      <c r="A46" s="185" t="s">
        <v>213</v>
      </c>
      <c r="B46" s="187" t="s">
        <v>354</v>
      </c>
      <c r="C46" s="188"/>
      <c r="D46" s="188"/>
      <c r="E46" s="188"/>
      <c r="F46" s="188"/>
      <c r="G46" s="190">
        <v>72128.11</v>
      </c>
      <c r="H46" s="191"/>
      <c r="I46" s="192"/>
      <c r="J46" s="53"/>
      <c r="K46" s="185" t="s">
        <v>213</v>
      </c>
      <c r="L46" s="187" t="s">
        <v>354</v>
      </c>
      <c r="M46" s="188"/>
      <c r="N46" s="188"/>
      <c r="O46" s="188"/>
      <c r="P46" s="188"/>
      <c r="Q46" s="190">
        <v>37173.25</v>
      </c>
      <c r="R46" s="191"/>
      <c r="S46" s="192"/>
    </row>
    <row r="47" spans="1:19" ht="7.5" customHeight="1" thickBot="1" x14ac:dyDescent="0.3">
      <c r="A47" s="186"/>
      <c r="B47" s="189"/>
      <c r="C47" s="189"/>
      <c r="D47" s="189"/>
      <c r="E47" s="189"/>
      <c r="F47" s="189"/>
      <c r="G47" s="193"/>
      <c r="H47" s="194"/>
      <c r="I47" s="128"/>
      <c r="J47" s="54"/>
      <c r="K47" s="186"/>
      <c r="L47" s="189"/>
      <c r="M47" s="189"/>
      <c r="N47" s="189"/>
      <c r="O47" s="189"/>
      <c r="P47" s="189"/>
      <c r="Q47" s="193"/>
      <c r="R47" s="194"/>
      <c r="S47" s="128"/>
    </row>
    <row r="48" spans="1:19" ht="17.25" customHeight="1" x14ac:dyDescent="0.25">
      <c r="A48" s="6"/>
      <c r="B48" s="161" t="s">
        <v>214</v>
      </c>
      <c r="C48" s="162"/>
      <c r="D48" s="162"/>
      <c r="E48" s="162"/>
      <c r="F48" s="162"/>
      <c r="G48" s="163">
        <f>1.99*12*F43</f>
        <v>76511.520000000004</v>
      </c>
      <c r="H48" s="164"/>
      <c r="I48" s="169" t="s">
        <v>215</v>
      </c>
      <c r="J48" s="42"/>
      <c r="K48" s="6"/>
      <c r="L48" s="161" t="s">
        <v>214</v>
      </c>
      <c r="M48" s="162"/>
      <c r="N48" s="162"/>
      <c r="O48" s="162"/>
      <c r="P48" s="162"/>
      <c r="Q48" s="163">
        <f>1.73*12*P43</f>
        <v>62414.939999999995</v>
      </c>
      <c r="R48" s="164"/>
      <c r="S48" s="169" t="s">
        <v>215</v>
      </c>
    </row>
    <row r="49" spans="1:19" ht="32.25" customHeight="1" thickBot="1" x14ac:dyDescent="0.3">
      <c r="A49" s="7"/>
      <c r="B49" s="171" t="s">
        <v>216</v>
      </c>
      <c r="C49" s="172"/>
      <c r="D49" s="172"/>
      <c r="E49" s="172"/>
      <c r="F49" s="172"/>
      <c r="G49" s="165"/>
      <c r="H49" s="166"/>
      <c r="I49" s="170"/>
      <c r="J49" s="43"/>
      <c r="K49" s="7"/>
      <c r="L49" s="171" t="s">
        <v>216</v>
      </c>
      <c r="M49" s="172"/>
      <c r="N49" s="172"/>
      <c r="O49" s="172"/>
      <c r="P49" s="172"/>
      <c r="Q49" s="165"/>
      <c r="R49" s="166"/>
      <c r="S49" s="170"/>
    </row>
    <row r="50" spans="1:19" ht="13.5" customHeight="1" thickBot="1" x14ac:dyDescent="0.3">
      <c r="A50" s="7"/>
      <c r="B50" s="173" t="s">
        <v>217</v>
      </c>
      <c r="C50" s="174"/>
      <c r="D50" s="174"/>
      <c r="E50" s="174"/>
      <c r="F50" s="174"/>
      <c r="G50" s="167"/>
      <c r="H50" s="168"/>
      <c r="I50" s="8" t="s">
        <v>218</v>
      </c>
      <c r="J50" s="43"/>
      <c r="K50" s="7"/>
      <c r="L50" s="173" t="s">
        <v>217</v>
      </c>
      <c r="M50" s="174"/>
      <c r="N50" s="174"/>
      <c r="O50" s="174"/>
      <c r="P50" s="174"/>
      <c r="Q50" s="167"/>
      <c r="R50" s="168"/>
      <c r="S50" s="8" t="s">
        <v>218</v>
      </c>
    </row>
    <row r="51" spans="1:19" ht="17.25" customHeight="1" thickBot="1" x14ac:dyDescent="0.3">
      <c r="A51" s="7"/>
      <c r="B51" s="141" t="s">
        <v>219</v>
      </c>
      <c r="C51" s="142"/>
      <c r="D51" s="142"/>
      <c r="E51" s="142"/>
      <c r="F51" s="142"/>
      <c r="G51" s="143">
        <v>0</v>
      </c>
      <c r="H51" s="144"/>
      <c r="I51" s="8" t="s">
        <v>220</v>
      </c>
      <c r="J51" s="55"/>
      <c r="K51" s="7"/>
      <c r="L51" s="141" t="s">
        <v>219</v>
      </c>
      <c r="M51" s="142"/>
      <c r="N51" s="142"/>
      <c r="O51" s="142"/>
      <c r="P51" s="142"/>
      <c r="Q51" s="143">
        <v>0</v>
      </c>
      <c r="R51" s="144"/>
      <c r="S51" s="8" t="s">
        <v>220</v>
      </c>
    </row>
    <row r="52" spans="1:19" ht="17.25" customHeight="1" thickBot="1" x14ac:dyDescent="0.3">
      <c r="A52" s="7"/>
      <c r="B52" s="141" t="s">
        <v>221</v>
      </c>
      <c r="C52" s="142"/>
      <c r="D52" s="142"/>
      <c r="E52" s="142"/>
      <c r="F52" s="142"/>
      <c r="G52" s="143">
        <f>0.474*12*F43</f>
        <v>18224.351999999999</v>
      </c>
      <c r="H52" s="144"/>
      <c r="I52" s="8" t="s">
        <v>222</v>
      </c>
      <c r="J52" s="56"/>
      <c r="K52" s="7"/>
      <c r="L52" s="141" t="s">
        <v>221</v>
      </c>
      <c r="M52" s="142"/>
      <c r="N52" s="142"/>
      <c r="O52" s="142"/>
      <c r="P52" s="142"/>
      <c r="Q52" s="143">
        <f>0.4*12*P43</f>
        <v>14431.200000000003</v>
      </c>
      <c r="R52" s="144"/>
      <c r="S52" s="8" t="s">
        <v>222</v>
      </c>
    </row>
    <row r="53" spans="1:19" ht="13.5" customHeight="1" x14ac:dyDescent="0.25">
      <c r="A53" s="9"/>
      <c r="B53" s="145" t="s">
        <v>223</v>
      </c>
      <c r="C53" s="146"/>
      <c r="D53" s="146"/>
      <c r="E53" s="146"/>
      <c r="F53" s="146"/>
      <c r="G53" s="86">
        <f>2.19*12*F43</f>
        <v>84201.12000000001</v>
      </c>
      <c r="H53" s="147"/>
      <c r="I53" s="152" t="s">
        <v>224</v>
      </c>
      <c r="J53" s="56"/>
      <c r="K53" s="9"/>
      <c r="L53" s="145" t="s">
        <v>223</v>
      </c>
      <c r="M53" s="146"/>
      <c r="N53" s="146"/>
      <c r="O53" s="146"/>
      <c r="P53" s="146"/>
      <c r="Q53" s="86">
        <f>1.99*12*P43</f>
        <v>71795.22</v>
      </c>
      <c r="R53" s="147"/>
      <c r="S53" s="152" t="s">
        <v>224</v>
      </c>
    </row>
    <row r="54" spans="1:19" ht="13.5" customHeight="1" x14ac:dyDescent="0.25">
      <c r="A54" s="10"/>
      <c r="B54" s="155" t="s">
        <v>226</v>
      </c>
      <c r="C54" s="156"/>
      <c r="D54" s="156"/>
      <c r="E54" s="156"/>
      <c r="F54" s="156"/>
      <c r="G54" s="148"/>
      <c r="H54" s="149"/>
      <c r="I54" s="153"/>
      <c r="J54" s="57"/>
      <c r="K54" s="10"/>
      <c r="L54" s="155" t="s">
        <v>226</v>
      </c>
      <c r="M54" s="156"/>
      <c r="N54" s="156"/>
      <c r="O54" s="156"/>
      <c r="P54" s="156"/>
      <c r="Q54" s="148"/>
      <c r="R54" s="149"/>
      <c r="S54" s="153"/>
    </row>
    <row r="55" spans="1:19" ht="13.5" customHeight="1" thickBot="1" x14ac:dyDescent="0.3">
      <c r="A55" s="10"/>
      <c r="B55" s="157" t="s">
        <v>227</v>
      </c>
      <c r="C55" s="158"/>
      <c r="D55" s="158"/>
      <c r="E55" s="158"/>
      <c r="F55" s="158"/>
      <c r="G55" s="148"/>
      <c r="H55" s="149"/>
      <c r="I55" s="154"/>
      <c r="J55" s="43"/>
      <c r="K55" s="10"/>
      <c r="L55" s="157" t="s">
        <v>227</v>
      </c>
      <c r="M55" s="158"/>
      <c r="N55" s="158"/>
      <c r="O55" s="158"/>
      <c r="P55" s="158"/>
      <c r="Q55" s="148"/>
      <c r="R55" s="149"/>
      <c r="S55" s="154"/>
    </row>
    <row r="56" spans="1:19" ht="13.5" customHeight="1" thickBot="1" x14ac:dyDescent="0.3">
      <c r="A56" s="10"/>
      <c r="B56" s="159" t="s">
        <v>228</v>
      </c>
      <c r="C56" s="160"/>
      <c r="D56" s="160"/>
      <c r="E56" s="160"/>
      <c r="F56" s="160"/>
      <c r="G56" s="150"/>
      <c r="H56" s="151"/>
      <c r="I56" s="11" t="s">
        <v>229</v>
      </c>
      <c r="J56" s="43"/>
      <c r="K56" s="10"/>
      <c r="L56" s="159" t="s">
        <v>228</v>
      </c>
      <c r="M56" s="160"/>
      <c r="N56" s="160"/>
      <c r="O56" s="160"/>
      <c r="P56" s="160"/>
      <c r="Q56" s="150"/>
      <c r="R56" s="151"/>
      <c r="S56" s="11" t="s">
        <v>229</v>
      </c>
    </row>
    <row r="57" spans="1:19" ht="13.5" customHeight="1" x14ac:dyDescent="0.25">
      <c r="A57" s="12"/>
      <c r="B57" s="125" t="s">
        <v>230</v>
      </c>
      <c r="C57" s="126"/>
      <c r="D57" s="126"/>
      <c r="E57" s="126"/>
      <c r="F57" s="126"/>
      <c r="G57" s="86">
        <f>0.048*12*F43</f>
        <v>1845.5040000000001</v>
      </c>
      <c r="H57" s="87"/>
      <c r="I57" s="129" t="s">
        <v>220</v>
      </c>
      <c r="J57" s="43"/>
      <c r="K57" s="12"/>
      <c r="L57" s="125" t="s">
        <v>230</v>
      </c>
      <c r="M57" s="126"/>
      <c r="N57" s="126"/>
      <c r="O57" s="126"/>
      <c r="P57" s="126"/>
      <c r="Q57" s="86">
        <f>0.04*12*P43</f>
        <v>1443.12</v>
      </c>
      <c r="R57" s="87"/>
      <c r="S57" s="129" t="s">
        <v>220</v>
      </c>
    </row>
    <row r="58" spans="1:19" ht="13.5" customHeight="1" thickBot="1" x14ac:dyDescent="0.3">
      <c r="A58" s="7"/>
      <c r="B58" s="131" t="s">
        <v>231</v>
      </c>
      <c r="C58" s="132"/>
      <c r="D58" s="132"/>
      <c r="E58" s="132"/>
      <c r="F58" s="132"/>
      <c r="G58" s="127"/>
      <c r="H58" s="128"/>
      <c r="I58" s="130"/>
      <c r="J58" s="43"/>
      <c r="K58" s="7"/>
      <c r="L58" s="131" t="s">
        <v>231</v>
      </c>
      <c r="M58" s="132"/>
      <c r="N58" s="132"/>
      <c r="O58" s="132"/>
      <c r="P58" s="132"/>
      <c r="Q58" s="127"/>
      <c r="R58" s="128"/>
      <c r="S58" s="130"/>
    </row>
    <row r="59" spans="1:19" ht="15.75" customHeight="1" thickBot="1" x14ac:dyDescent="0.3">
      <c r="A59" s="13"/>
      <c r="B59" s="133" t="s">
        <v>232</v>
      </c>
      <c r="C59" s="134"/>
      <c r="D59" s="134"/>
      <c r="E59" s="134"/>
      <c r="F59" s="134"/>
      <c r="G59" s="135"/>
      <c r="H59" s="136"/>
      <c r="I59" s="14"/>
      <c r="J59" s="58"/>
      <c r="K59" s="13"/>
      <c r="L59" s="133" t="s">
        <v>232</v>
      </c>
      <c r="M59" s="134"/>
      <c r="N59" s="134"/>
      <c r="O59" s="134"/>
      <c r="P59" s="134"/>
      <c r="Q59" s="135"/>
      <c r="R59" s="136"/>
      <c r="S59" s="14"/>
    </row>
    <row r="60" spans="1:19" ht="45" customHeight="1" thickBot="1" x14ac:dyDescent="0.3">
      <c r="A60" s="13"/>
      <c r="B60" s="84" t="s">
        <v>233</v>
      </c>
      <c r="C60" s="85"/>
      <c r="D60" s="85"/>
      <c r="E60" s="85"/>
      <c r="F60" s="85"/>
      <c r="G60" s="86">
        <f>1.85*12*F43</f>
        <v>71128.800000000003</v>
      </c>
      <c r="H60" s="87"/>
      <c r="I60" s="92" t="s">
        <v>578</v>
      </c>
      <c r="J60" s="41"/>
      <c r="K60" s="13"/>
      <c r="L60" s="84" t="s">
        <v>233</v>
      </c>
      <c r="M60" s="85"/>
      <c r="N60" s="85"/>
      <c r="O60" s="85"/>
      <c r="P60" s="85"/>
      <c r="Q60" s="86">
        <f>1.35*12*P43</f>
        <v>48705.30000000001</v>
      </c>
      <c r="R60" s="87"/>
      <c r="S60" s="92" t="s">
        <v>579</v>
      </c>
    </row>
    <row r="61" spans="1:19" ht="36" customHeight="1" x14ac:dyDescent="0.25">
      <c r="A61" s="118"/>
      <c r="B61" s="121" t="s">
        <v>226</v>
      </c>
      <c r="C61" s="122"/>
      <c r="D61" s="122"/>
      <c r="E61" s="122"/>
      <c r="F61" s="122"/>
      <c r="G61" s="88"/>
      <c r="H61" s="89"/>
      <c r="I61" s="93"/>
      <c r="J61" s="41"/>
      <c r="K61" s="118"/>
      <c r="L61" s="121" t="s">
        <v>226</v>
      </c>
      <c r="M61" s="122"/>
      <c r="N61" s="122"/>
      <c r="O61" s="122"/>
      <c r="P61" s="122"/>
      <c r="Q61" s="88"/>
      <c r="R61" s="89"/>
      <c r="S61" s="93"/>
    </row>
    <row r="62" spans="1:19" ht="35.1" customHeight="1" x14ac:dyDescent="0.25">
      <c r="A62" s="119"/>
      <c r="B62" s="121" t="s">
        <v>227</v>
      </c>
      <c r="C62" s="122"/>
      <c r="D62" s="122"/>
      <c r="E62" s="122"/>
      <c r="F62" s="122"/>
      <c r="G62" s="88"/>
      <c r="H62" s="89"/>
      <c r="I62" s="93"/>
      <c r="J62" s="42"/>
      <c r="K62" s="119"/>
      <c r="L62" s="121" t="s">
        <v>227</v>
      </c>
      <c r="M62" s="122"/>
      <c r="N62" s="122"/>
      <c r="O62" s="122"/>
      <c r="P62" s="122"/>
      <c r="Q62" s="88"/>
      <c r="R62" s="89"/>
      <c r="S62" s="93"/>
    </row>
    <row r="63" spans="1:19" ht="27" customHeight="1" x14ac:dyDescent="0.25">
      <c r="A63" s="119"/>
      <c r="B63" s="121" t="s">
        <v>228</v>
      </c>
      <c r="C63" s="122"/>
      <c r="D63" s="122"/>
      <c r="E63" s="122"/>
      <c r="F63" s="122"/>
      <c r="G63" s="88"/>
      <c r="H63" s="89"/>
      <c r="I63" s="93"/>
      <c r="J63" s="43"/>
      <c r="K63" s="119"/>
      <c r="L63" s="121" t="s">
        <v>228</v>
      </c>
      <c r="M63" s="122"/>
      <c r="N63" s="122"/>
      <c r="O63" s="122"/>
      <c r="P63" s="122"/>
      <c r="Q63" s="88"/>
      <c r="R63" s="89"/>
      <c r="S63" s="93"/>
    </row>
    <row r="64" spans="1:19" ht="55.5" customHeight="1" thickBot="1" x14ac:dyDescent="0.3">
      <c r="A64" s="120"/>
      <c r="B64" s="123" t="s">
        <v>234</v>
      </c>
      <c r="C64" s="124"/>
      <c r="D64" s="124"/>
      <c r="E64" s="124"/>
      <c r="F64" s="124"/>
      <c r="G64" s="90"/>
      <c r="H64" s="91"/>
      <c r="I64" s="94"/>
      <c r="J64" s="59"/>
      <c r="K64" s="120"/>
      <c r="L64" s="123" t="s">
        <v>234</v>
      </c>
      <c r="M64" s="124"/>
      <c r="N64" s="124"/>
      <c r="O64" s="124"/>
      <c r="P64" s="124"/>
      <c r="Q64" s="90"/>
      <c r="R64" s="91"/>
      <c r="S64" s="94"/>
    </row>
    <row r="65" spans="1:19" ht="0.95" hidden="1" customHeight="1" x14ac:dyDescent="0.25">
      <c r="A65" s="15"/>
      <c r="B65" s="137" t="s">
        <v>248</v>
      </c>
      <c r="C65" s="138"/>
      <c r="D65" s="138"/>
      <c r="E65" s="138"/>
      <c r="F65" s="138"/>
      <c r="G65" s="139"/>
      <c r="H65" s="140"/>
      <c r="I65" s="16"/>
      <c r="J65" s="58"/>
      <c r="K65" s="15"/>
      <c r="L65" s="137" t="s">
        <v>248</v>
      </c>
      <c r="M65" s="138"/>
      <c r="N65" s="138"/>
      <c r="O65" s="138"/>
      <c r="P65" s="138"/>
      <c r="Q65" s="139"/>
      <c r="R65" s="140"/>
      <c r="S65" s="16"/>
    </row>
    <row r="66" spans="1:19" ht="1.5" customHeight="1" thickBot="1" x14ac:dyDescent="0.3">
      <c r="A66" s="15"/>
      <c r="B66" s="137" t="s">
        <v>235</v>
      </c>
      <c r="C66" s="138"/>
      <c r="D66" s="138"/>
      <c r="E66" s="138"/>
      <c r="F66" s="138"/>
      <c r="G66" s="139"/>
      <c r="H66" s="140"/>
      <c r="I66" s="16"/>
      <c r="J66" s="45"/>
      <c r="K66" s="15"/>
      <c r="L66" s="137" t="s">
        <v>235</v>
      </c>
      <c r="M66" s="138"/>
      <c r="N66" s="138"/>
      <c r="O66" s="138"/>
      <c r="P66" s="138"/>
      <c r="Q66" s="139"/>
      <c r="R66" s="140"/>
      <c r="S66" s="16"/>
    </row>
    <row r="67" spans="1:19" ht="36" customHeight="1" thickBot="1" x14ac:dyDescent="0.3">
      <c r="A67" s="17"/>
      <c r="B67" s="78" t="s">
        <v>237</v>
      </c>
      <c r="C67" s="79"/>
      <c r="D67" s="79"/>
      <c r="E67" s="79"/>
      <c r="F67" s="79"/>
      <c r="G67" s="86">
        <v>4129</v>
      </c>
      <c r="H67" s="87"/>
      <c r="I67" s="108" t="s">
        <v>229</v>
      </c>
      <c r="J67" s="41"/>
      <c r="K67" s="17"/>
      <c r="L67" s="78" t="s">
        <v>237</v>
      </c>
      <c r="M67" s="79"/>
      <c r="N67" s="79"/>
      <c r="O67" s="79"/>
      <c r="P67" s="79"/>
      <c r="Q67" s="86">
        <v>13148</v>
      </c>
      <c r="R67" s="87"/>
      <c r="S67" s="108" t="s">
        <v>229</v>
      </c>
    </row>
    <row r="68" spans="1:19" ht="15.75" customHeight="1" thickBot="1" x14ac:dyDescent="0.3">
      <c r="A68" s="18"/>
      <c r="B68" s="110" t="s">
        <v>238</v>
      </c>
      <c r="C68" s="111"/>
      <c r="D68" s="111"/>
      <c r="E68" s="111"/>
      <c r="F68" s="111"/>
      <c r="G68" s="90"/>
      <c r="H68" s="91"/>
      <c r="I68" s="109"/>
      <c r="J68" s="41"/>
      <c r="K68" s="18"/>
      <c r="L68" s="110" t="s">
        <v>238</v>
      </c>
      <c r="M68" s="111"/>
      <c r="N68" s="111"/>
      <c r="O68" s="111"/>
      <c r="P68" s="111"/>
      <c r="Q68" s="90"/>
      <c r="R68" s="91"/>
      <c r="S68" s="109"/>
    </row>
    <row r="69" spans="1:19" ht="15.75" customHeight="1" thickBot="1" x14ac:dyDescent="0.3">
      <c r="A69" s="19"/>
      <c r="B69" s="112" t="s">
        <v>239</v>
      </c>
      <c r="C69" s="113"/>
      <c r="D69" s="113"/>
      <c r="E69" s="113"/>
      <c r="F69" s="113"/>
      <c r="G69" s="114">
        <f>SUM(G48:H68)</f>
        <v>256040.29600000003</v>
      </c>
      <c r="H69" s="115"/>
      <c r="I69" s="20"/>
      <c r="J69" s="60"/>
      <c r="K69" s="19"/>
      <c r="L69" s="112" t="s">
        <v>239</v>
      </c>
      <c r="M69" s="113"/>
      <c r="N69" s="113"/>
      <c r="O69" s="113"/>
      <c r="P69" s="113"/>
      <c r="Q69" s="114">
        <f>SUM(Q48:R68)</f>
        <v>211937.78</v>
      </c>
      <c r="R69" s="115"/>
      <c r="S69" s="20"/>
    </row>
    <row r="70" spans="1:19" ht="25.5" customHeight="1" thickBot="1" x14ac:dyDescent="0.3">
      <c r="A70" s="21"/>
      <c r="B70" s="101" t="s">
        <v>240</v>
      </c>
      <c r="C70" s="102"/>
      <c r="D70" s="102"/>
      <c r="E70" s="102"/>
      <c r="F70" s="102"/>
      <c r="G70" s="116">
        <f>G69*1.2</f>
        <v>307248.35520000005</v>
      </c>
      <c r="H70" s="117"/>
      <c r="I70" s="22"/>
      <c r="J70" s="60"/>
      <c r="K70" s="21"/>
      <c r="L70" s="101" t="s">
        <v>240</v>
      </c>
      <c r="M70" s="102"/>
      <c r="N70" s="102"/>
      <c r="O70" s="102"/>
      <c r="P70" s="102"/>
      <c r="Q70" s="116">
        <f>Q69*1.2</f>
        <v>254325.33599999998</v>
      </c>
      <c r="R70" s="117"/>
      <c r="S70" s="22"/>
    </row>
    <row r="71" spans="1:19" ht="25.5" customHeight="1" thickBot="1" x14ac:dyDescent="0.3">
      <c r="A71" s="24"/>
      <c r="B71" s="96" t="s">
        <v>443</v>
      </c>
      <c r="C71" s="97"/>
      <c r="D71" s="97"/>
      <c r="E71" s="97"/>
      <c r="F71" s="97"/>
      <c r="G71" s="311">
        <v>304792.21000000002</v>
      </c>
      <c r="H71" s="312"/>
      <c r="I71" s="313"/>
      <c r="J71" s="60"/>
      <c r="K71" s="24"/>
      <c r="L71" s="96" t="s">
        <v>443</v>
      </c>
      <c r="M71" s="97"/>
      <c r="N71" s="97"/>
      <c r="O71" s="97"/>
      <c r="P71" s="97"/>
      <c r="Q71" s="311">
        <v>241501.33</v>
      </c>
      <c r="R71" s="312"/>
      <c r="S71" s="313"/>
    </row>
    <row r="72" spans="1:19" ht="25.5" customHeight="1" thickBot="1" x14ac:dyDescent="0.3">
      <c r="A72" s="19"/>
      <c r="B72" s="101" t="s">
        <v>242</v>
      </c>
      <c r="C72" s="102"/>
      <c r="D72" s="102"/>
      <c r="E72" s="102"/>
      <c r="F72" s="102"/>
      <c r="G72" s="307">
        <v>310401.01</v>
      </c>
      <c r="H72" s="308"/>
      <c r="I72" s="309"/>
      <c r="K72" s="19"/>
      <c r="L72" s="101" t="s">
        <v>242</v>
      </c>
      <c r="M72" s="102"/>
      <c r="N72" s="102"/>
      <c r="O72" s="102"/>
      <c r="P72" s="102"/>
      <c r="Q72" s="307">
        <v>261186.49</v>
      </c>
      <c r="R72" s="308"/>
      <c r="S72" s="309"/>
    </row>
    <row r="73" spans="1:19" ht="25.5" customHeight="1" thickBot="1" x14ac:dyDescent="0.3">
      <c r="A73" s="19"/>
      <c r="B73" s="106" t="s">
        <v>444</v>
      </c>
      <c r="C73" s="107"/>
      <c r="D73" s="107"/>
      <c r="E73" s="107"/>
      <c r="F73" s="107"/>
      <c r="G73" s="307">
        <v>66519.31</v>
      </c>
      <c r="H73" s="308"/>
      <c r="I73" s="309"/>
      <c r="J73" s="61"/>
      <c r="K73" s="19"/>
      <c r="L73" s="106" t="s">
        <v>444</v>
      </c>
      <c r="M73" s="107"/>
      <c r="N73" s="107"/>
      <c r="O73" s="107"/>
      <c r="P73" s="107"/>
      <c r="Q73" s="307">
        <v>17488.09</v>
      </c>
      <c r="R73" s="308"/>
      <c r="S73" s="309"/>
    </row>
    <row r="74" spans="1:19" ht="14.25" customHeight="1" x14ac:dyDescent="0.25">
      <c r="A74" s="4"/>
      <c r="B74" s="195"/>
      <c r="C74" s="195"/>
      <c r="D74" s="195"/>
      <c r="E74" s="195"/>
      <c r="F74" s="195"/>
      <c r="G74" s="195"/>
      <c r="H74" s="195"/>
      <c r="I74" s="195"/>
      <c r="K74" s="4"/>
      <c r="L74" s="195"/>
      <c r="M74" s="195"/>
      <c r="N74" s="195"/>
      <c r="O74" s="195"/>
      <c r="P74" s="195"/>
      <c r="Q74" s="195"/>
      <c r="R74" s="195"/>
      <c r="S74" s="195"/>
    </row>
    <row r="75" spans="1:19" ht="15.75" x14ac:dyDescent="0.25">
      <c r="C75" s="30"/>
      <c r="K75" s="30"/>
      <c r="L75" s="338"/>
      <c r="M75" s="338"/>
      <c r="N75" s="338"/>
      <c r="O75" s="338"/>
      <c r="P75" s="338"/>
      <c r="Q75" s="338"/>
      <c r="R75" s="338"/>
      <c r="S75" s="338"/>
    </row>
    <row r="76" spans="1:19" ht="15.75" x14ac:dyDescent="0.25">
      <c r="A76" s="30"/>
      <c r="C76" s="30"/>
      <c r="K76" s="30"/>
      <c r="N76" s="30"/>
    </row>
    <row r="77" spans="1:19" ht="15.75" x14ac:dyDescent="0.25">
      <c r="A77" s="30"/>
      <c r="C77" s="30"/>
      <c r="K77" s="30"/>
      <c r="N77" s="30"/>
    </row>
    <row r="78" spans="1:19" x14ac:dyDescent="0.25">
      <c r="A78" s="3"/>
      <c r="B78" s="3"/>
      <c r="C78" s="3"/>
      <c r="D78" s="3"/>
      <c r="E78" s="4" t="s">
        <v>204</v>
      </c>
      <c r="F78" s="3"/>
      <c r="G78" s="3"/>
      <c r="H78" s="3"/>
      <c r="I78" s="3"/>
      <c r="K78" s="3"/>
      <c r="L78" s="3"/>
      <c r="M78" s="3"/>
      <c r="N78" s="3"/>
      <c r="O78" s="4" t="s">
        <v>204</v>
      </c>
      <c r="P78" s="3"/>
      <c r="Q78" s="3"/>
      <c r="R78" s="3"/>
      <c r="S78" s="3"/>
    </row>
    <row r="79" spans="1:19" x14ac:dyDescent="0.25">
      <c r="A79" s="3" t="s">
        <v>205</v>
      </c>
      <c r="B79" s="3"/>
      <c r="C79" s="3"/>
      <c r="D79" s="3" t="s">
        <v>352</v>
      </c>
      <c r="E79" s="3"/>
      <c r="F79" s="3"/>
      <c r="G79" s="3"/>
      <c r="H79" s="3"/>
      <c r="I79" s="3"/>
      <c r="K79" s="3" t="s">
        <v>205</v>
      </c>
      <c r="L79" s="3"/>
      <c r="M79" s="3"/>
      <c r="N79" s="3" t="s">
        <v>353</v>
      </c>
      <c r="O79" s="3"/>
      <c r="P79" s="3"/>
      <c r="Q79" s="3"/>
      <c r="R79" s="3"/>
      <c r="S79" s="3"/>
    </row>
    <row r="80" spans="1:19" x14ac:dyDescent="0.25">
      <c r="A80" s="3"/>
      <c r="B80" s="5" t="s">
        <v>440</v>
      </c>
      <c r="C80" s="3"/>
      <c r="D80" s="3"/>
      <c r="E80" s="3"/>
      <c r="F80" s="3"/>
      <c r="G80" s="3"/>
      <c r="H80" s="3"/>
      <c r="I80" s="3"/>
      <c r="J80" s="3"/>
      <c r="K80" s="3"/>
      <c r="L80" s="5" t="s">
        <v>440</v>
      </c>
      <c r="M80" s="3"/>
      <c r="N80" s="3"/>
      <c r="O80" s="3"/>
      <c r="P80" s="3"/>
      <c r="Q80" s="3"/>
      <c r="R80" s="3"/>
      <c r="S80" s="3"/>
    </row>
    <row r="81" spans="1:19" ht="15.75" thickBot="1" x14ac:dyDescent="0.3">
      <c r="A81" s="3"/>
      <c r="B81" s="5" t="s">
        <v>206</v>
      </c>
      <c r="C81" s="3"/>
      <c r="D81" s="3"/>
      <c r="E81" s="3"/>
      <c r="F81" s="3">
        <f>'[1]ж-2.2'!$K$9</f>
        <v>4381.8999999999996</v>
      </c>
      <c r="G81" s="3" t="s">
        <v>207</v>
      </c>
      <c r="H81" s="3"/>
      <c r="I81" s="3"/>
      <c r="J81" s="3"/>
      <c r="K81" s="3"/>
      <c r="L81" s="5" t="s">
        <v>206</v>
      </c>
      <c r="M81" s="3"/>
      <c r="N81" s="3"/>
      <c r="O81" s="3"/>
      <c r="P81" s="3">
        <f>'[1]ж-2.2'!$L$9</f>
        <v>4585.5</v>
      </c>
      <c r="Q81" s="3" t="s">
        <v>207</v>
      </c>
      <c r="R81" s="3"/>
      <c r="S81" s="3"/>
    </row>
    <row r="82" spans="1:19" ht="15" customHeight="1" x14ac:dyDescent="0.25">
      <c r="A82" s="175" t="s">
        <v>209</v>
      </c>
      <c r="B82" s="177" t="s">
        <v>210</v>
      </c>
      <c r="C82" s="178"/>
      <c r="D82" s="178"/>
      <c r="E82" s="178"/>
      <c r="F82" s="178"/>
      <c r="G82" s="180" t="s">
        <v>442</v>
      </c>
      <c r="H82" s="181"/>
      <c r="I82" s="175" t="s">
        <v>212</v>
      </c>
      <c r="J82" s="31"/>
      <c r="K82" s="175" t="s">
        <v>209</v>
      </c>
      <c r="L82" s="177" t="s">
        <v>210</v>
      </c>
      <c r="M82" s="178"/>
      <c r="N82" s="178"/>
      <c r="O82" s="178"/>
      <c r="P82" s="178"/>
      <c r="Q82" s="180" t="s">
        <v>442</v>
      </c>
      <c r="R82" s="181"/>
      <c r="S82" s="175" t="s">
        <v>212</v>
      </c>
    </row>
    <row r="83" spans="1:19" ht="75" customHeight="1" thickBot="1" x14ac:dyDescent="0.3">
      <c r="A83" s="176"/>
      <c r="B83" s="179"/>
      <c r="C83" s="179"/>
      <c r="D83" s="179"/>
      <c r="E83" s="179"/>
      <c r="F83" s="179"/>
      <c r="G83" s="182"/>
      <c r="H83" s="183"/>
      <c r="I83" s="184"/>
      <c r="J83" s="32"/>
      <c r="K83" s="176"/>
      <c r="L83" s="179"/>
      <c r="M83" s="179"/>
      <c r="N83" s="179"/>
      <c r="O83" s="179"/>
      <c r="P83" s="179"/>
      <c r="Q83" s="182"/>
      <c r="R83" s="183"/>
      <c r="S83" s="184"/>
    </row>
    <row r="84" spans="1:19" ht="15" customHeight="1" x14ac:dyDescent="0.25">
      <c r="A84" s="185" t="s">
        <v>213</v>
      </c>
      <c r="B84" s="187" t="s">
        <v>354</v>
      </c>
      <c r="C84" s="188"/>
      <c r="D84" s="188"/>
      <c r="E84" s="188"/>
      <c r="F84" s="188"/>
      <c r="G84" s="190">
        <v>55397.29</v>
      </c>
      <c r="H84" s="191"/>
      <c r="I84" s="192"/>
      <c r="J84" s="33"/>
      <c r="K84" s="185" t="s">
        <v>213</v>
      </c>
      <c r="L84" s="187" t="s">
        <v>354</v>
      </c>
      <c r="M84" s="188"/>
      <c r="N84" s="188"/>
      <c r="O84" s="188"/>
      <c r="P84" s="188"/>
      <c r="Q84" s="190">
        <v>52882.27</v>
      </c>
      <c r="R84" s="191"/>
      <c r="S84" s="192"/>
    </row>
    <row r="85" spans="1:19" ht="5.25" customHeight="1" thickBot="1" x14ac:dyDescent="0.3">
      <c r="A85" s="186"/>
      <c r="B85" s="189"/>
      <c r="C85" s="189"/>
      <c r="D85" s="189"/>
      <c r="E85" s="189"/>
      <c r="F85" s="189"/>
      <c r="G85" s="193"/>
      <c r="H85" s="194"/>
      <c r="I85" s="128"/>
      <c r="J85" s="34"/>
      <c r="K85" s="186"/>
      <c r="L85" s="189"/>
      <c r="M85" s="189"/>
      <c r="N85" s="189"/>
      <c r="O85" s="189"/>
      <c r="P85" s="189"/>
      <c r="Q85" s="193"/>
      <c r="R85" s="194"/>
      <c r="S85" s="128"/>
    </row>
    <row r="86" spans="1:19" ht="15" customHeight="1" x14ac:dyDescent="0.25">
      <c r="A86" s="6"/>
      <c r="B86" s="161" t="s">
        <v>214</v>
      </c>
      <c r="C86" s="162"/>
      <c r="D86" s="162"/>
      <c r="E86" s="162"/>
      <c r="F86" s="162"/>
      <c r="G86" s="163">
        <f>1.54*12*F81</f>
        <v>80977.511999999988</v>
      </c>
      <c r="H86" s="164"/>
      <c r="I86" s="169" t="s">
        <v>215</v>
      </c>
      <c r="J86" s="35"/>
      <c r="K86" s="6"/>
      <c r="L86" s="161" t="s">
        <v>214</v>
      </c>
      <c r="M86" s="162"/>
      <c r="N86" s="162"/>
      <c r="O86" s="162"/>
      <c r="P86" s="162"/>
      <c r="Q86" s="163">
        <f>1.64*12*P81</f>
        <v>90242.64</v>
      </c>
      <c r="R86" s="164"/>
      <c r="S86" s="169" t="s">
        <v>215</v>
      </c>
    </row>
    <row r="87" spans="1:19" ht="33.75" customHeight="1" thickBot="1" x14ac:dyDescent="0.3">
      <c r="A87" s="7"/>
      <c r="B87" s="171" t="s">
        <v>216</v>
      </c>
      <c r="C87" s="172"/>
      <c r="D87" s="172"/>
      <c r="E87" s="172"/>
      <c r="F87" s="172"/>
      <c r="G87" s="165"/>
      <c r="H87" s="166"/>
      <c r="I87" s="170"/>
      <c r="J87" s="36"/>
      <c r="K87" s="7"/>
      <c r="L87" s="171" t="s">
        <v>216</v>
      </c>
      <c r="M87" s="172"/>
      <c r="N87" s="172"/>
      <c r="O87" s="172"/>
      <c r="P87" s="172"/>
      <c r="Q87" s="165"/>
      <c r="R87" s="166"/>
      <c r="S87" s="170"/>
    </row>
    <row r="88" spans="1:19" ht="13.5" customHeight="1" thickBot="1" x14ac:dyDescent="0.3">
      <c r="A88" s="7"/>
      <c r="B88" s="173" t="s">
        <v>217</v>
      </c>
      <c r="C88" s="174"/>
      <c r="D88" s="174"/>
      <c r="E88" s="174"/>
      <c r="F88" s="174"/>
      <c r="G88" s="167"/>
      <c r="H88" s="168"/>
      <c r="I88" s="8" t="s">
        <v>218</v>
      </c>
      <c r="J88" s="36"/>
      <c r="K88" s="7"/>
      <c r="L88" s="173" t="s">
        <v>217</v>
      </c>
      <c r="M88" s="174"/>
      <c r="N88" s="174"/>
      <c r="O88" s="174"/>
      <c r="P88" s="174"/>
      <c r="Q88" s="167"/>
      <c r="R88" s="168"/>
      <c r="S88" s="8" t="s">
        <v>218</v>
      </c>
    </row>
    <row r="89" spans="1:19" ht="18.75" customHeight="1" thickBot="1" x14ac:dyDescent="0.3">
      <c r="A89" s="7"/>
      <c r="B89" s="141" t="s">
        <v>219</v>
      </c>
      <c r="C89" s="142"/>
      <c r="D89" s="142"/>
      <c r="E89" s="142"/>
      <c r="F89" s="142"/>
      <c r="G89" s="143">
        <v>0</v>
      </c>
      <c r="H89" s="144"/>
      <c r="I89" s="8" t="s">
        <v>220</v>
      </c>
      <c r="J89" s="37"/>
      <c r="K89" s="7"/>
      <c r="L89" s="141" t="s">
        <v>219</v>
      </c>
      <c r="M89" s="142"/>
      <c r="N89" s="142"/>
      <c r="O89" s="142"/>
      <c r="P89" s="142"/>
      <c r="Q89" s="143">
        <v>0</v>
      </c>
      <c r="R89" s="144"/>
      <c r="S89" s="8" t="s">
        <v>220</v>
      </c>
    </row>
    <row r="90" spans="1:19" ht="18.75" customHeight="1" thickBot="1" x14ac:dyDescent="0.3">
      <c r="A90" s="7"/>
      <c r="B90" s="141" t="s">
        <v>221</v>
      </c>
      <c r="C90" s="142"/>
      <c r="D90" s="142"/>
      <c r="E90" s="142"/>
      <c r="F90" s="142"/>
      <c r="G90" s="143">
        <f>0.47*12*F81</f>
        <v>24713.915999999997</v>
      </c>
      <c r="H90" s="144"/>
      <c r="I90" s="8" t="s">
        <v>222</v>
      </c>
      <c r="J90" s="38"/>
      <c r="K90" s="7"/>
      <c r="L90" s="141" t="s">
        <v>221</v>
      </c>
      <c r="M90" s="142"/>
      <c r="N90" s="142"/>
      <c r="O90" s="142"/>
      <c r="P90" s="142"/>
      <c r="Q90" s="143">
        <f>0.47*12*P81</f>
        <v>25862.219999999998</v>
      </c>
      <c r="R90" s="144"/>
      <c r="S90" s="8" t="s">
        <v>222</v>
      </c>
    </row>
    <row r="91" spans="1:19" ht="13.5" customHeight="1" x14ac:dyDescent="0.25">
      <c r="A91" s="9"/>
      <c r="B91" s="145" t="s">
        <v>223</v>
      </c>
      <c r="C91" s="146"/>
      <c r="D91" s="146"/>
      <c r="E91" s="146"/>
      <c r="F91" s="146"/>
      <c r="G91" s="86">
        <f>2.09*12*F81</f>
        <v>109898.05199999998</v>
      </c>
      <c r="H91" s="147"/>
      <c r="I91" s="152" t="s">
        <v>224</v>
      </c>
      <c r="J91" s="38"/>
      <c r="K91" s="9"/>
      <c r="L91" s="145" t="s">
        <v>223</v>
      </c>
      <c r="M91" s="146"/>
      <c r="N91" s="146"/>
      <c r="O91" s="146"/>
      <c r="P91" s="146"/>
      <c r="Q91" s="86">
        <f>1.94*12*P81</f>
        <v>106750.44</v>
      </c>
      <c r="R91" s="147"/>
      <c r="S91" s="152" t="s">
        <v>224</v>
      </c>
    </row>
    <row r="92" spans="1:19" ht="13.5" customHeight="1" x14ac:dyDescent="0.25">
      <c r="A92" s="10"/>
      <c r="B92" s="155" t="s">
        <v>226</v>
      </c>
      <c r="C92" s="156"/>
      <c r="D92" s="156"/>
      <c r="E92" s="156"/>
      <c r="F92" s="156"/>
      <c r="G92" s="148"/>
      <c r="H92" s="149"/>
      <c r="I92" s="153"/>
      <c r="J92" s="39"/>
      <c r="K92" s="10"/>
      <c r="L92" s="155" t="s">
        <v>226</v>
      </c>
      <c r="M92" s="156"/>
      <c r="N92" s="156"/>
      <c r="O92" s="156"/>
      <c r="P92" s="156"/>
      <c r="Q92" s="148"/>
      <c r="R92" s="149"/>
      <c r="S92" s="153"/>
    </row>
    <row r="93" spans="1:19" ht="13.5" customHeight="1" thickBot="1" x14ac:dyDescent="0.3">
      <c r="A93" s="10"/>
      <c r="B93" s="157" t="s">
        <v>227</v>
      </c>
      <c r="C93" s="158"/>
      <c r="D93" s="158"/>
      <c r="E93" s="158"/>
      <c r="F93" s="158"/>
      <c r="G93" s="148"/>
      <c r="H93" s="149"/>
      <c r="I93" s="154"/>
      <c r="J93" s="36"/>
      <c r="K93" s="10"/>
      <c r="L93" s="157" t="s">
        <v>227</v>
      </c>
      <c r="M93" s="158"/>
      <c r="N93" s="158"/>
      <c r="O93" s="158"/>
      <c r="P93" s="158"/>
      <c r="Q93" s="148"/>
      <c r="R93" s="149"/>
      <c r="S93" s="154"/>
    </row>
    <row r="94" spans="1:19" ht="13.5" customHeight="1" thickBot="1" x14ac:dyDescent="0.3">
      <c r="A94" s="10"/>
      <c r="B94" s="159" t="s">
        <v>228</v>
      </c>
      <c r="C94" s="160"/>
      <c r="D94" s="160"/>
      <c r="E94" s="160"/>
      <c r="F94" s="160"/>
      <c r="G94" s="150"/>
      <c r="H94" s="151"/>
      <c r="I94" s="11" t="s">
        <v>229</v>
      </c>
      <c r="J94" s="36"/>
      <c r="K94" s="10"/>
      <c r="L94" s="159" t="s">
        <v>228</v>
      </c>
      <c r="M94" s="160"/>
      <c r="N94" s="160"/>
      <c r="O94" s="160"/>
      <c r="P94" s="160"/>
      <c r="Q94" s="150"/>
      <c r="R94" s="151"/>
      <c r="S94" s="11" t="s">
        <v>229</v>
      </c>
    </row>
    <row r="95" spans="1:19" ht="13.5" customHeight="1" x14ac:dyDescent="0.25">
      <c r="A95" s="12"/>
      <c r="B95" s="125" t="s">
        <v>230</v>
      </c>
      <c r="C95" s="126"/>
      <c r="D95" s="126"/>
      <c r="E95" s="126"/>
      <c r="F95" s="126"/>
      <c r="G95" s="86">
        <f>0.04*12*F81</f>
        <v>2103.3119999999999</v>
      </c>
      <c r="H95" s="87"/>
      <c r="I95" s="129" t="s">
        <v>220</v>
      </c>
      <c r="J95" s="36"/>
      <c r="K95" s="12"/>
      <c r="L95" s="125" t="s">
        <v>230</v>
      </c>
      <c r="M95" s="126"/>
      <c r="N95" s="126"/>
      <c r="O95" s="126"/>
      <c r="P95" s="126"/>
      <c r="Q95" s="86">
        <f>0.04*12*P81</f>
        <v>2201.04</v>
      </c>
      <c r="R95" s="87"/>
      <c r="S95" s="129" t="s">
        <v>220</v>
      </c>
    </row>
    <row r="96" spans="1:19" ht="13.5" customHeight="1" thickBot="1" x14ac:dyDescent="0.3">
      <c r="A96" s="7"/>
      <c r="B96" s="131" t="s">
        <v>231</v>
      </c>
      <c r="C96" s="132"/>
      <c r="D96" s="132"/>
      <c r="E96" s="132"/>
      <c r="F96" s="132"/>
      <c r="G96" s="127"/>
      <c r="H96" s="128"/>
      <c r="I96" s="130"/>
      <c r="J96" s="36"/>
      <c r="K96" s="7"/>
      <c r="L96" s="131" t="s">
        <v>231</v>
      </c>
      <c r="M96" s="132"/>
      <c r="N96" s="132"/>
      <c r="O96" s="132"/>
      <c r="P96" s="132"/>
      <c r="Q96" s="127"/>
      <c r="R96" s="128"/>
      <c r="S96" s="130"/>
    </row>
    <row r="97" spans="1:19" ht="20.25" customHeight="1" thickBot="1" x14ac:dyDescent="0.3">
      <c r="A97" s="13"/>
      <c r="B97" s="133" t="s">
        <v>232</v>
      </c>
      <c r="C97" s="134"/>
      <c r="D97" s="134"/>
      <c r="E97" s="134"/>
      <c r="F97" s="134"/>
      <c r="G97" s="135"/>
      <c r="H97" s="136"/>
      <c r="I97" s="14"/>
      <c r="J97" s="40"/>
      <c r="K97" s="13"/>
      <c r="L97" s="133" t="s">
        <v>232</v>
      </c>
      <c r="M97" s="134"/>
      <c r="N97" s="134"/>
      <c r="O97" s="134"/>
      <c r="P97" s="134"/>
      <c r="Q97" s="135"/>
      <c r="R97" s="136"/>
      <c r="S97" s="14"/>
    </row>
    <row r="98" spans="1:19" ht="31.5" customHeight="1" thickBot="1" x14ac:dyDescent="0.3">
      <c r="A98" s="13"/>
      <c r="B98" s="84" t="s">
        <v>233</v>
      </c>
      <c r="C98" s="85"/>
      <c r="D98" s="85"/>
      <c r="E98" s="85"/>
      <c r="F98" s="85"/>
      <c r="G98" s="86">
        <f>1.75*12*F81</f>
        <v>92019.9</v>
      </c>
      <c r="H98" s="87"/>
      <c r="I98" s="92" t="s">
        <v>580</v>
      </c>
      <c r="J98" s="41"/>
      <c r="K98" s="13"/>
      <c r="L98" s="84" t="s">
        <v>233</v>
      </c>
      <c r="M98" s="85"/>
      <c r="N98" s="85"/>
      <c r="O98" s="85"/>
      <c r="P98" s="85"/>
      <c r="Q98" s="86">
        <f>1.55*12*P81</f>
        <v>85290.3</v>
      </c>
      <c r="R98" s="87"/>
      <c r="S98" s="92" t="s">
        <v>581</v>
      </c>
    </row>
    <row r="99" spans="1:19" ht="50.25" customHeight="1" x14ac:dyDescent="0.25">
      <c r="A99" s="118"/>
      <c r="B99" s="121" t="s">
        <v>226</v>
      </c>
      <c r="C99" s="122"/>
      <c r="D99" s="122"/>
      <c r="E99" s="122"/>
      <c r="F99" s="122"/>
      <c r="G99" s="88"/>
      <c r="H99" s="89"/>
      <c r="I99" s="93"/>
      <c r="J99" s="41"/>
      <c r="K99" s="118"/>
      <c r="L99" s="121" t="s">
        <v>226</v>
      </c>
      <c r="M99" s="122"/>
      <c r="N99" s="122"/>
      <c r="O99" s="122"/>
      <c r="P99" s="122"/>
      <c r="Q99" s="88"/>
      <c r="R99" s="89"/>
      <c r="S99" s="93"/>
    </row>
    <row r="100" spans="1:19" ht="51.75" customHeight="1" x14ac:dyDescent="0.25">
      <c r="A100" s="119"/>
      <c r="B100" s="121" t="s">
        <v>227</v>
      </c>
      <c r="C100" s="122"/>
      <c r="D100" s="122"/>
      <c r="E100" s="122"/>
      <c r="F100" s="122"/>
      <c r="G100" s="88"/>
      <c r="H100" s="89"/>
      <c r="I100" s="93"/>
      <c r="J100" s="41"/>
      <c r="K100" s="119"/>
      <c r="L100" s="121" t="s">
        <v>227</v>
      </c>
      <c r="M100" s="122"/>
      <c r="N100" s="122"/>
      <c r="O100" s="122"/>
      <c r="P100" s="122"/>
      <c r="Q100" s="88"/>
      <c r="R100" s="89"/>
      <c r="S100" s="93"/>
    </row>
    <row r="101" spans="1:19" ht="61.5" customHeight="1" x14ac:dyDescent="0.25">
      <c r="A101" s="119"/>
      <c r="B101" s="121" t="s">
        <v>228</v>
      </c>
      <c r="C101" s="122"/>
      <c r="D101" s="122"/>
      <c r="E101" s="122"/>
      <c r="F101" s="122"/>
      <c r="G101" s="88"/>
      <c r="H101" s="89"/>
      <c r="I101" s="93"/>
      <c r="J101" s="42"/>
      <c r="K101" s="119"/>
      <c r="L101" s="121" t="s">
        <v>228</v>
      </c>
      <c r="M101" s="122"/>
      <c r="N101" s="122"/>
      <c r="O101" s="122"/>
      <c r="P101" s="122"/>
      <c r="Q101" s="88"/>
      <c r="R101" s="89"/>
      <c r="S101" s="93"/>
    </row>
    <row r="102" spans="1:19" ht="68.25" customHeight="1" thickBot="1" x14ac:dyDescent="0.3">
      <c r="A102" s="120"/>
      <c r="B102" s="123" t="s">
        <v>234</v>
      </c>
      <c r="C102" s="124"/>
      <c r="D102" s="124"/>
      <c r="E102" s="124"/>
      <c r="F102" s="124"/>
      <c r="G102" s="90"/>
      <c r="H102" s="91"/>
      <c r="I102" s="94"/>
      <c r="J102" s="43"/>
      <c r="K102" s="120"/>
      <c r="L102" s="123" t="s">
        <v>234</v>
      </c>
      <c r="M102" s="124"/>
      <c r="N102" s="124"/>
      <c r="O102" s="124"/>
      <c r="P102" s="124"/>
      <c r="Q102" s="90"/>
      <c r="R102" s="91"/>
      <c r="S102" s="94"/>
    </row>
    <row r="103" spans="1:19" ht="1.5" customHeight="1" thickBot="1" x14ac:dyDescent="0.3">
      <c r="A103" s="15"/>
      <c r="B103" s="137" t="s">
        <v>248</v>
      </c>
      <c r="C103" s="138"/>
      <c r="D103" s="138"/>
      <c r="E103" s="138"/>
      <c r="F103" s="138"/>
      <c r="G103" s="139"/>
      <c r="H103" s="140"/>
      <c r="I103" s="16"/>
      <c r="J103" s="44"/>
      <c r="K103" s="15"/>
      <c r="L103" s="137" t="s">
        <v>248</v>
      </c>
      <c r="M103" s="138"/>
      <c r="N103" s="138"/>
      <c r="O103" s="138"/>
      <c r="P103" s="138"/>
      <c r="Q103" s="139"/>
      <c r="R103" s="140"/>
      <c r="S103" s="16"/>
    </row>
    <row r="104" spans="1:19" ht="0.75" customHeight="1" thickBot="1" x14ac:dyDescent="0.3">
      <c r="A104" s="15"/>
      <c r="B104" s="137" t="s">
        <v>235</v>
      </c>
      <c r="C104" s="138"/>
      <c r="D104" s="138"/>
      <c r="E104" s="138"/>
      <c r="F104" s="138"/>
      <c r="G104" s="139"/>
      <c r="H104" s="140"/>
      <c r="I104" s="16"/>
      <c r="J104" s="40"/>
      <c r="K104" s="15"/>
      <c r="L104" s="137" t="s">
        <v>235</v>
      </c>
      <c r="M104" s="138"/>
      <c r="N104" s="138"/>
      <c r="O104" s="138"/>
      <c r="P104" s="138"/>
      <c r="Q104" s="139"/>
      <c r="R104" s="140"/>
      <c r="S104" s="16"/>
    </row>
    <row r="105" spans="1:19" ht="29.25" customHeight="1" thickBot="1" x14ac:dyDescent="0.3">
      <c r="A105" s="17"/>
      <c r="B105" s="78" t="s">
        <v>237</v>
      </c>
      <c r="C105" s="79"/>
      <c r="D105" s="79"/>
      <c r="E105" s="79"/>
      <c r="F105" s="79"/>
      <c r="G105" s="86">
        <v>4475</v>
      </c>
      <c r="H105" s="87"/>
      <c r="I105" s="108" t="s">
        <v>229</v>
      </c>
      <c r="J105" s="27"/>
      <c r="K105" s="17"/>
      <c r="L105" s="78" t="s">
        <v>237</v>
      </c>
      <c r="M105" s="79"/>
      <c r="N105" s="79"/>
      <c r="O105" s="79"/>
      <c r="P105" s="79"/>
      <c r="Q105" s="86">
        <v>5502</v>
      </c>
      <c r="R105" s="87"/>
      <c r="S105" s="108" t="s">
        <v>229</v>
      </c>
    </row>
    <row r="106" spans="1:19" ht="15" customHeight="1" thickBot="1" x14ac:dyDescent="0.3">
      <c r="A106" s="18"/>
      <c r="B106" s="110" t="s">
        <v>238</v>
      </c>
      <c r="C106" s="111"/>
      <c r="D106" s="111"/>
      <c r="E106" s="111"/>
      <c r="F106" s="111"/>
      <c r="G106" s="90"/>
      <c r="H106" s="91"/>
      <c r="I106" s="109"/>
      <c r="J106" s="45"/>
      <c r="K106" s="18"/>
      <c r="L106" s="110" t="s">
        <v>238</v>
      </c>
      <c r="M106" s="111"/>
      <c r="N106" s="111"/>
      <c r="O106" s="111"/>
      <c r="P106" s="111"/>
      <c r="Q106" s="90"/>
      <c r="R106" s="91"/>
      <c r="S106" s="109"/>
    </row>
    <row r="107" spans="1:19" ht="15" customHeight="1" thickBot="1" x14ac:dyDescent="0.3">
      <c r="A107" s="19"/>
      <c r="B107" s="112" t="s">
        <v>239</v>
      </c>
      <c r="C107" s="113"/>
      <c r="D107" s="113"/>
      <c r="E107" s="113"/>
      <c r="F107" s="113"/>
      <c r="G107" s="114">
        <f>SUM(G86:H106)</f>
        <v>314187.69199999998</v>
      </c>
      <c r="H107" s="115"/>
      <c r="I107" s="20"/>
      <c r="J107" s="46"/>
      <c r="K107" s="19"/>
      <c r="L107" s="112" t="s">
        <v>239</v>
      </c>
      <c r="M107" s="113"/>
      <c r="N107" s="113"/>
      <c r="O107" s="113"/>
      <c r="P107" s="113"/>
      <c r="Q107" s="114">
        <f>SUM(Q86:R106)</f>
        <v>315848.64</v>
      </c>
      <c r="R107" s="115"/>
      <c r="S107" s="20"/>
    </row>
    <row r="108" spans="1:19" ht="21.75" customHeight="1" thickBot="1" x14ac:dyDescent="0.3">
      <c r="A108" s="21"/>
      <c r="B108" s="101" t="s">
        <v>240</v>
      </c>
      <c r="C108" s="102"/>
      <c r="D108" s="102"/>
      <c r="E108" s="102"/>
      <c r="F108" s="102"/>
      <c r="G108" s="116">
        <f>G107*1.2</f>
        <v>377025.23039999994</v>
      </c>
      <c r="H108" s="117"/>
      <c r="I108" s="22"/>
      <c r="J108" s="47"/>
      <c r="K108" s="21"/>
      <c r="L108" s="101" t="s">
        <v>240</v>
      </c>
      <c r="M108" s="102"/>
      <c r="N108" s="102"/>
      <c r="O108" s="102"/>
      <c r="P108" s="102"/>
      <c r="Q108" s="116">
        <f>Q107*1.2</f>
        <v>379018.36800000002</v>
      </c>
      <c r="R108" s="117"/>
      <c r="S108" s="22"/>
    </row>
    <row r="109" spans="1:19" ht="21.75" customHeight="1" thickBot="1" x14ac:dyDescent="0.3">
      <c r="A109" s="24"/>
      <c r="B109" s="96" t="s">
        <v>241</v>
      </c>
      <c r="C109" s="97"/>
      <c r="D109" s="97"/>
      <c r="E109" s="97"/>
      <c r="F109" s="97"/>
      <c r="G109" s="311">
        <v>376872.72</v>
      </c>
      <c r="H109" s="312"/>
      <c r="I109" s="313"/>
      <c r="J109" s="47"/>
      <c r="K109" s="24"/>
      <c r="L109" s="96" t="s">
        <v>443</v>
      </c>
      <c r="M109" s="97"/>
      <c r="N109" s="97"/>
      <c r="O109" s="97"/>
      <c r="P109" s="97"/>
      <c r="Q109" s="311">
        <v>386435.05</v>
      </c>
      <c r="R109" s="312"/>
      <c r="S109" s="313"/>
    </row>
    <row r="110" spans="1:19" ht="21.75" customHeight="1" thickBot="1" x14ac:dyDescent="0.3">
      <c r="A110" s="19"/>
      <c r="B110" s="101" t="s">
        <v>242</v>
      </c>
      <c r="C110" s="102"/>
      <c r="D110" s="102"/>
      <c r="E110" s="102"/>
      <c r="F110" s="102"/>
      <c r="G110" s="307">
        <v>375547.62</v>
      </c>
      <c r="H110" s="308"/>
      <c r="I110" s="309"/>
      <c r="J110" s="47"/>
      <c r="K110" s="19"/>
      <c r="L110" s="101" t="s">
        <v>242</v>
      </c>
      <c r="M110" s="102"/>
      <c r="N110" s="102"/>
      <c r="O110" s="102"/>
      <c r="P110" s="102"/>
      <c r="Q110" s="307">
        <v>370364.71</v>
      </c>
      <c r="R110" s="308"/>
      <c r="S110" s="309"/>
    </row>
    <row r="111" spans="1:19" ht="21.75" customHeight="1" thickBot="1" x14ac:dyDescent="0.3">
      <c r="A111" s="19"/>
      <c r="B111" s="106" t="s">
        <v>243</v>
      </c>
      <c r="C111" s="107"/>
      <c r="D111" s="107"/>
      <c r="E111" s="107"/>
      <c r="F111" s="107"/>
      <c r="G111" s="307">
        <v>56722.39</v>
      </c>
      <c r="H111" s="308"/>
      <c r="I111" s="309"/>
      <c r="J111" s="47"/>
      <c r="K111" s="19"/>
      <c r="L111" s="106" t="s">
        <v>444</v>
      </c>
      <c r="M111" s="107"/>
      <c r="N111" s="107"/>
      <c r="O111" s="107"/>
      <c r="P111" s="107"/>
      <c r="Q111" s="307">
        <v>68952.61</v>
      </c>
      <c r="R111" s="308"/>
      <c r="S111" s="309"/>
    </row>
    <row r="112" spans="1:19" x14ac:dyDescent="0.25">
      <c r="E112" s="50"/>
      <c r="I112" s="5"/>
      <c r="O112" s="50"/>
      <c r="S112" s="5"/>
    </row>
    <row r="113" spans="1:19" x14ac:dyDescent="0.25">
      <c r="A113" s="3"/>
      <c r="I113" s="5"/>
      <c r="K113" s="3"/>
      <c r="S113" s="5"/>
    </row>
    <row r="114" spans="1:19" ht="15.75" x14ac:dyDescent="0.25">
      <c r="B114" s="30"/>
      <c r="K114" s="30"/>
      <c r="L114" s="30"/>
    </row>
    <row r="115" spans="1:19" ht="15.75" x14ac:dyDescent="0.25">
      <c r="B115" s="30"/>
      <c r="K115" s="30"/>
      <c r="L115" s="30"/>
    </row>
    <row r="116" spans="1:19" x14ac:dyDescent="0.25">
      <c r="A116" s="3"/>
      <c r="B116" s="3"/>
      <c r="C116" s="3"/>
      <c r="D116" s="3"/>
      <c r="E116" s="4" t="s">
        <v>204</v>
      </c>
      <c r="F116" s="3"/>
      <c r="G116" s="3"/>
      <c r="H116" s="3"/>
      <c r="I116" s="3"/>
      <c r="K116" s="3"/>
      <c r="L116" s="3"/>
      <c r="M116" s="3"/>
      <c r="N116" s="3"/>
      <c r="O116" s="4" t="s">
        <v>204</v>
      </c>
      <c r="P116" s="3"/>
      <c r="Q116" s="3"/>
      <c r="R116" s="3"/>
      <c r="S116" s="3"/>
    </row>
    <row r="117" spans="1:19" x14ac:dyDescent="0.25">
      <c r="A117" s="3" t="s">
        <v>205</v>
      </c>
      <c r="B117" s="3"/>
      <c r="C117" s="3"/>
      <c r="D117" s="3" t="s">
        <v>355</v>
      </c>
      <c r="E117" s="3"/>
      <c r="F117" s="3"/>
      <c r="G117" s="3"/>
      <c r="H117" s="3"/>
      <c r="I117" s="3"/>
      <c r="K117" s="3" t="s">
        <v>205</v>
      </c>
      <c r="L117" s="3"/>
      <c r="M117" s="3"/>
      <c r="N117" s="3" t="s">
        <v>356</v>
      </c>
      <c r="O117" s="3"/>
      <c r="P117" s="3"/>
      <c r="Q117" s="3"/>
      <c r="R117" s="3"/>
      <c r="S117" s="3"/>
    </row>
    <row r="118" spans="1:19" x14ac:dyDescent="0.25">
      <c r="A118" s="3"/>
      <c r="B118" s="5" t="s">
        <v>440</v>
      </c>
      <c r="C118" s="3"/>
      <c r="D118" s="3"/>
      <c r="E118" s="3"/>
      <c r="F118" s="3"/>
      <c r="G118" s="3"/>
      <c r="H118" s="3"/>
      <c r="I118" s="3"/>
      <c r="K118" s="3"/>
      <c r="L118" s="5" t="s">
        <v>440</v>
      </c>
      <c r="M118" s="3"/>
      <c r="N118" s="3"/>
      <c r="O118" s="3"/>
      <c r="P118" s="3"/>
      <c r="Q118" s="3"/>
      <c r="R118" s="3"/>
      <c r="S118" s="3"/>
    </row>
    <row r="119" spans="1:19" ht="15.75" thickBot="1" x14ac:dyDescent="0.3">
      <c r="A119" s="3"/>
      <c r="B119" s="5" t="s">
        <v>206</v>
      </c>
      <c r="C119" s="3"/>
      <c r="D119" s="3"/>
      <c r="E119" s="3"/>
      <c r="F119" s="3">
        <f>'[1]ж-2.2'!$Q$9</f>
        <v>6148.1</v>
      </c>
      <c r="G119" s="3" t="s">
        <v>207</v>
      </c>
      <c r="H119" s="3"/>
      <c r="I119" s="3"/>
      <c r="J119" s="3"/>
      <c r="K119" s="3"/>
      <c r="L119" s="5" t="s">
        <v>206</v>
      </c>
      <c r="M119" s="3"/>
      <c r="N119" s="3"/>
      <c r="O119" s="3"/>
      <c r="P119" s="3">
        <f>'[1]ж-2.2'!$R$9</f>
        <v>5317.8</v>
      </c>
      <c r="Q119" s="3" t="s">
        <v>207</v>
      </c>
      <c r="R119" s="3"/>
      <c r="S119" s="3"/>
    </row>
    <row r="120" spans="1:19" ht="15.75" customHeight="1" thickBot="1" x14ac:dyDescent="0.3">
      <c r="A120" s="175" t="s">
        <v>209</v>
      </c>
      <c r="B120" s="177" t="s">
        <v>210</v>
      </c>
      <c r="C120" s="178"/>
      <c r="D120" s="178"/>
      <c r="E120" s="178"/>
      <c r="F120" s="178"/>
      <c r="G120" s="180" t="s">
        <v>442</v>
      </c>
      <c r="H120" s="181"/>
      <c r="I120" s="175" t="s">
        <v>212</v>
      </c>
      <c r="J120" s="3"/>
      <c r="K120" s="175" t="s">
        <v>209</v>
      </c>
      <c r="L120" s="177" t="s">
        <v>210</v>
      </c>
      <c r="M120" s="178"/>
      <c r="N120" s="178"/>
      <c r="O120" s="178"/>
      <c r="P120" s="178"/>
      <c r="Q120" s="180" t="s">
        <v>442</v>
      </c>
      <c r="R120" s="181"/>
      <c r="S120" s="175" t="s">
        <v>212</v>
      </c>
    </row>
    <row r="121" spans="1:19" ht="68.25" customHeight="1" thickBot="1" x14ac:dyDescent="0.3">
      <c r="A121" s="176"/>
      <c r="B121" s="179"/>
      <c r="C121" s="179"/>
      <c r="D121" s="179"/>
      <c r="E121" s="179"/>
      <c r="F121" s="179"/>
      <c r="G121" s="182"/>
      <c r="H121" s="183"/>
      <c r="I121" s="184"/>
      <c r="J121" s="31"/>
      <c r="K121" s="176"/>
      <c r="L121" s="179"/>
      <c r="M121" s="179"/>
      <c r="N121" s="179"/>
      <c r="O121" s="179"/>
      <c r="P121" s="179"/>
      <c r="Q121" s="182"/>
      <c r="R121" s="183"/>
      <c r="S121" s="184"/>
    </row>
    <row r="122" spans="1:19" ht="21.75" customHeight="1" thickBot="1" x14ac:dyDescent="0.3">
      <c r="A122" s="185" t="s">
        <v>213</v>
      </c>
      <c r="B122" s="187" t="s">
        <v>354</v>
      </c>
      <c r="C122" s="188"/>
      <c r="D122" s="188"/>
      <c r="E122" s="188"/>
      <c r="F122" s="188"/>
      <c r="G122" s="190">
        <v>79307.44</v>
      </c>
      <c r="H122" s="191"/>
      <c r="I122" s="192"/>
      <c r="J122" s="32"/>
      <c r="K122" s="185" t="s">
        <v>213</v>
      </c>
      <c r="L122" s="187" t="s">
        <v>354</v>
      </c>
      <c r="M122" s="188"/>
      <c r="N122" s="188"/>
      <c r="O122" s="188"/>
      <c r="P122" s="188"/>
      <c r="Q122" s="190">
        <v>124645.83</v>
      </c>
      <c r="R122" s="191"/>
      <c r="S122" s="192"/>
    </row>
    <row r="123" spans="1:19" ht="15.75" hidden="1" customHeight="1" x14ac:dyDescent="0.25">
      <c r="A123" s="186"/>
      <c r="B123" s="189"/>
      <c r="C123" s="189"/>
      <c r="D123" s="189"/>
      <c r="E123" s="189"/>
      <c r="F123" s="189"/>
      <c r="G123" s="193"/>
      <c r="H123" s="194"/>
      <c r="I123" s="128"/>
      <c r="J123" s="33"/>
      <c r="K123" s="186"/>
      <c r="L123" s="189"/>
      <c r="M123" s="189"/>
      <c r="N123" s="189"/>
      <c r="O123" s="189"/>
      <c r="P123" s="189"/>
      <c r="Q123" s="193"/>
      <c r="R123" s="194"/>
      <c r="S123" s="128"/>
    </row>
    <row r="124" spans="1:19" ht="16.5" customHeight="1" x14ac:dyDescent="0.25">
      <c r="A124" s="6"/>
      <c r="B124" s="161" t="s">
        <v>214</v>
      </c>
      <c r="C124" s="162"/>
      <c r="D124" s="162"/>
      <c r="E124" s="162"/>
      <c r="F124" s="162"/>
      <c r="G124" s="163">
        <f>1.72*12*F119</f>
        <v>126896.78400000001</v>
      </c>
      <c r="H124" s="164"/>
      <c r="I124" s="169" t="s">
        <v>215</v>
      </c>
      <c r="J124" s="36"/>
      <c r="K124" s="6"/>
      <c r="L124" s="161" t="s">
        <v>214</v>
      </c>
      <c r="M124" s="162"/>
      <c r="N124" s="162"/>
      <c r="O124" s="162"/>
      <c r="P124" s="162"/>
      <c r="Q124" s="163">
        <f>1.72*12*P119</f>
        <v>109759.39200000001</v>
      </c>
      <c r="R124" s="164"/>
      <c r="S124" s="169" t="s">
        <v>215</v>
      </c>
    </row>
    <row r="125" spans="1:19" ht="30" customHeight="1" thickBot="1" x14ac:dyDescent="0.3">
      <c r="A125" s="7"/>
      <c r="B125" s="171" t="s">
        <v>216</v>
      </c>
      <c r="C125" s="172"/>
      <c r="D125" s="172"/>
      <c r="E125" s="172"/>
      <c r="F125" s="172"/>
      <c r="G125" s="165"/>
      <c r="H125" s="166"/>
      <c r="I125" s="170"/>
      <c r="J125" s="35"/>
      <c r="K125" s="7"/>
      <c r="L125" s="171" t="s">
        <v>216</v>
      </c>
      <c r="M125" s="172"/>
      <c r="N125" s="172"/>
      <c r="O125" s="172"/>
      <c r="P125" s="172"/>
      <c r="Q125" s="165"/>
      <c r="R125" s="166"/>
      <c r="S125" s="170"/>
    </row>
    <row r="126" spans="1:19" ht="13.5" customHeight="1" thickBot="1" x14ac:dyDescent="0.3">
      <c r="A126" s="7"/>
      <c r="B126" s="173" t="s">
        <v>217</v>
      </c>
      <c r="C126" s="174"/>
      <c r="D126" s="174"/>
      <c r="E126" s="174"/>
      <c r="F126" s="174"/>
      <c r="G126" s="167"/>
      <c r="H126" s="168"/>
      <c r="I126" s="8" t="s">
        <v>218</v>
      </c>
      <c r="J126" s="36"/>
      <c r="K126" s="7"/>
      <c r="L126" s="173" t="s">
        <v>217</v>
      </c>
      <c r="M126" s="174"/>
      <c r="N126" s="174"/>
      <c r="O126" s="174"/>
      <c r="P126" s="174"/>
      <c r="Q126" s="167"/>
      <c r="R126" s="168"/>
      <c r="S126" s="8" t="s">
        <v>218</v>
      </c>
    </row>
    <row r="127" spans="1:19" ht="14.25" customHeight="1" thickBot="1" x14ac:dyDescent="0.3">
      <c r="A127" s="7"/>
      <c r="B127" s="141" t="s">
        <v>219</v>
      </c>
      <c r="C127" s="142"/>
      <c r="D127" s="142"/>
      <c r="E127" s="142"/>
      <c r="F127" s="142"/>
      <c r="G127" s="143">
        <v>0</v>
      </c>
      <c r="H127" s="144"/>
      <c r="I127" s="8" t="s">
        <v>220</v>
      </c>
      <c r="J127" s="36"/>
      <c r="K127" s="7"/>
      <c r="L127" s="141" t="s">
        <v>219</v>
      </c>
      <c r="M127" s="142"/>
      <c r="N127" s="142"/>
      <c r="O127" s="142"/>
      <c r="P127" s="142"/>
      <c r="Q127" s="143">
        <v>0</v>
      </c>
      <c r="R127" s="144"/>
      <c r="S127" s="8" t="s">
        <v>220</v>
      </c>
    </row>
    <row r="128" spans="1:19" ht="20.25" customHeight="1" thickBot="1" x14ac:dyDescent="0.3">
      <c r="A128" s="7"/>
      <c r="B128" s="141" t="s">
        <v>221</v>
      </c>
      <c r="C128" s="142"/>
      <c r="D128" s="142"/>
      <c r="E128" s="142"/>
      <c r="F128" s="142"/>
      <c r="G128" s="143">
        <f>0.47*12*F119</f>
        <v>34675.284</v>
      </c>
      <c r="H128" s="144"/>
      <c r="I128" s="8" t="s">
        <v>222</v>
      </c>
      <c r="J128" s="37"/>
      <c r="K128" s="7"/>
      <c r="L128" s="141" t="s">
        <v>221</v>
      </c>
      <c r="M128" s="142"/>
      <c r="N128" s="142"/>
      <c r="O128" s="142"/>
      <c r="P128" s="142"/>
      <c r="Q128" s="143">
        <f>0.47*12*P119</f>
        <v>29992.392</v>
      </c>
      <c r="R128" s="144"/>
      <c r="S128" s="8" t="s">
        <v>222</v>
      </c>
    </row>
    <row r="129" spans="1:19" ht="18" customHeight="1" x14ac:dyDescent="0.25">
      <c r="A129" s="9"/>
      <c r="B129" s="145" t="s">
        <v>223</v>
      </c>
      <c r="C129" s="146"/>
      <c r="D129" s="146"/>
      <c r="E129" s="146"/>
      <c r="F129" s="146"/>
      <c r="G129" s="86">
        <f>2.09*12*F119</f>
        <v>154194.348</v>
      </c>
      <c r="H129" s="147"/>
      <c r="I129" s="152" t="s">
        <v>224</v>
      </c>
      <c r="J129" s="38"/>
      <c r="K129" s="9"/>
      <c r="L129" s="145" t="s">
        <v>223</v>
      </c>
      <c r="M129" s="146"/>
      <c r="N129" s="146"/>
      <c r="O129" s="146"/>
      <c r="P129" s="146"/>
      <c r="Q129" s="86">
        <f>2.09*12*P119</f>
        <v>133370.424</v>
      </c>
      <c r="R129" s="147"/>
      <c r="S129" s="152" t="s">
        <v>224</v>
      </c>
    </row>
    <row r="130" spans="1:19" ht="13.5" customHeight="1" x14ac:dyDescent="0.25">
      <c r="A130" s="10"/>
      <c r="B130" s="155" t="s">
        <v>226</v>
      </c>
      <c r="C130" s="156"/>
      <c r="D130" s="156"/>
      <c r="E130" s="156"/>
      <c r="F130" s="156"/>
      <c r="G130" s="148"/>
      <c r="H130" s="149"/>
      <c r="I130" s="153"/>
      <c r="J130" s="38"/>
      <c r="K130" s="10"/>
      <c r="L130" s="155" t="s">
        <v>226</v>
      </c>
      <c r="M130" s="156"/>
      <c r="N130" s="156"/>
      <c r="O130" s="156"/>
      <c r="P130" s="156"/>
      <c r="Q130" s="148"/>
      <c r="R130" s="149"/>
      <c r="S130" s="153"/>
    </row>
    <row r="131" spans="1:19" ht="13.5" customHeight="1" thickBot="1" x14ac:dyDescent="0.3">
      <c r="A131" s="10"/>
      <c r="B131" s="157" t="s">
        <v>227</v>
      </c>
      <c r="C131" s="158"/>
      <c r="D131" s="158"/>
      <c r="E131" s="158"/>
      <c r="F131" s="158"/>
      <c r="G131" s="148"/>
      <c r="H131" s="149"/>
      <c r="I131" s="154"/>
      <c r="J131" s="39"/>
      <c r="K131" s="10"/>
      <c r="L131" s="157" t="s">
        <v>227</v>
      </c>
      <c r="M131" s="158"/>
      <c r="N131" s="158"/>
      <c r="O131" s="158"/>
      <c r="P131" s="158"/>
      <c r="Q131" s="148"/>
      <c r="R131" s="149"/>
      <c r="S131" s="154"/>
    </row>
    <row r="132" spans="1:19" ht="13.5" customHeight="1" thickBot="1" x14ac:dyDescent="0.3">
      <c r="A132" s="10"/>
      <c r="B132" s="159" t="s">
        <v>228</v>
      </c>
      <c r="C132" s="160"/>
      <c r="D132" s="160"/>
      <c r="E132" s="160"/>
      <c r="F132" s="160"/>
      <c r="G132" s="150"/>
      <c r="H132" s="151"/>
      <c r="I132" s="11" t="s">
        <v>229</v>
      </c>
      <c r="J132" s="36"/>
      <c r="K132" s="10"/>
      <c r="L132" s="159" t="s">
        <v>228</v>
      </c>
      <c r="M132" s="160"/>
      <c r="N132" s="160"/>
      <c r="O132" s="160"/>
      <c r="P132" s="160"/>
      <c r="Q132" s="150"/>
      <c r="R132" s="151"/>
      <c r="S132" s="11" t="s">
        <v>229</v>
      </c>
    </row>
    <row r="133" spans="1:19" ht="13.5" customHeight="1" x14ac:dyDescent="0.25">
      <c r="A133" s="12"/>
      <c r="B133" s="125" t="s">
        <v>230</v>
      </c>
      <c r="C133" s="126"/>
      <c r="D133" s="126"/>
      <c r="E133" s="126"/>
      <c r="F133" s="126"/>
      <c r="G133" s="86">
        <f>0.04*12*F119</f>
        <v>2951.0880000000002</v>
      </c>
      <c r="H133" s="87"/>
      <c r="I133" s="129" t="s">
        <v>220</v>
      </c>
      <c r="J133" s="36"/>
      <c r="K133" s="12"/>
      <c r="L133" s="125" t="s">
        <v>230</v>
      </c>
      <c r="M133" s="126"/>
      <c r="N133" s="126"/>
      <c r="O133" s="126"/>
      <c r="P133" s="126"/>
      <c r="Q133" s="86">
        <f>0.04*12*P119</f>
        <v>2552.5439999999999</v>
      </c>
      <c r="R133" s="87"/>
      <c r="S133" s="129" t="s">
        <v>220</v>
      </c>
    </row>
    <row r="134" spans="1:19" ht="13.5" customHeight="1" thickBot="1" x14ac:dyDescent="0.3">
      <c r="A134" s="7"/>
      <c r="B134" s="131" t="s">
        <v>231</v>
      </c>
      <c r="C134" s="132"/>
      <c r="D134" s="132"/>
      <c r="E134" s="132"/>
      <c r="F134" s="132"/>
      <c r="G134" s="127"/>
      <c r="H134" s="128"/>
      <c r="I134" s="130"/>
      <c r="J134" s="36"/>
      <c r="K134" s="7"/>
      <c r="L134" s="131" t="s">
        <v>231</v>
      </c>
      <c r="M134" s="132"/>
      <c r="N134" s="132"/>
      <c r="O134" s="132"/>
      <c r="P134" s="132"/>
      <c r="Q134" s="127"/>
      <c r="R134" s="128"/>
      <c r="S134" s="130"/>
    </row>
    <row r="135" spans="1:19" ht="15.75" customHeight="1" thickBot="1" x14ac:dyDescent="0.3">
      <c r="A135" s="13"/>
      <c r="B135" s="133" t="s">
        <v>232</v>
      </c>
      <c r="C135" s="134"/>
      <c r="D135" s="134"/>
      <c r="E135" s="134"/>
      <c r="F135" s="134"/>
      <c r="G135" s="135"/>
      <c r="H135" s="136"/>
      <c r="I135" s="14"/>
      <c r="J135" s="36"/>
      <c r="K135" s="13"/>
      <c r="L135" s="133" t="s">
        <v>232</v>
      </c>
      <c r="M135" s="134"/>
      <c r="N135" s="134"/>
      <c r="O135" s="134"/>
      <c r="P135" s="134"/>
      <c r="Q135" s="135"/>
      <c r="R135" s="136"/>
      <c r="S135" s="14"/>
    </row>
    <row r="136" spans="1:19" ht="45" customHeight="1" thickBot="1" x14ac:dyDescent="0.3">
      <c r="A136" s="13"/>
      <c r="B136" s="84" t="s">
        <v>233</v>
      </c>
      <c r="C136" s="85"/>
      <c r="D136" s="85"/>
      <c r="E136" s="85"/>
      <c r="F136" s="85"/>
      <c r="G136" s="86">
        <f>1.69*12*F119</f>
        <v>124683.46800000001</v>
      </c>
      <c r="H136" s="87"/>
      <c r="I136" s="340" t="s">
        <v>582</v>
      </c>
      <c r="J136" s="41"/>
      <c r="K136" s="13"/>
      <c r="L136" s="84" t="s">
        <v>233</v>
      </c>
      <c r="M136" s="85"/>
      <c r="N136" s="85"/>
      <c r="O136" s="85"/>
      <c r="P136" s="85"/>
      <c r="Q136" s="86">
        <f>1.53*12*P119</f>
        <v>97634.808000000005</v>
      </c>
      <c r="R136" s="87"/>
      <c r="S136" s="340" t="s">
        <v>584</v>
      </c>
    </row>
    <row r="137" spans="1:19" ht="50.25" customHeight="1" x14ac:dyDescent="0.25">
      <c r="A137" s="118"/>
      <c r="B137" s="121" t="s">
        <v>226</v>
      </c>
      <c r="C137" s="122"/>
      <c r="D137" s="122"/>
      <c r="E137" s="122"/>
      <c r="F137" s="122"/>
      <c r="G137" s="88"/>
      <c r="H137" s="89"/>
      <c r="I137" s="341"/>
      <c r="J137" s="41"/>
      <c r="K137" s="118"/>
      <c r="L137" s="121" t="s">
        <v>226</v>
      </c>
      <c r="M137" s="122"/>
      <c r="N137" s="122"/>
      <c r="O137" s="122"/>
      <c r="P137" s="122"/>
      <c r="Q137" s="88"/>
      <c r="R137" s="89"/>
      <c r="S137" s="341"/>
    </row>
    <row r="138" spans="1:19" ht="46.5" customHeight="1" x14ac:dyDescent="0.25">
      <c r="A138" s="119"/>
      <c r="B138" s="121" t="s">
        <v>227</v>
      </c>
      <c r="C138" s="122"/>
      <c r="D138" s="122"/>
      <c r="E138" s="122"/>
      <c r="F138" s="122"/>
      <c r="G138" s="88"/>
      <c r="H138" s="89"/>
      <c r="I138" s="341"/>
      <c r="J138" s="41"/>
      <c r="K138" s="119"/>
      <c r="L138" s="121" t="s">
        <v>227</v>
      </c>
      <c r="M138" s="122"/>
      <c r="N138" s="122"/>
      <c r="O138" s="122"/>
      <c r="P138" s="122"/>
      <c r="Q138" s="88"/>
      <c r="R138" s="89"/>
      <c r="S138" s="341"/>
    </row>
    <row r="139" spans="1:19" ht="29.25" customHeight="1" x14ac:dyDescent="0.25">
      <c r="A139" s="119"/>
      <c r="B139" s="121" t="s">
        <v>228</v>
      </c>
      <c r="C139" s="122"/>
      <c r="D139" s="122"/>
      <c r="E139" s="122"/>
      <c r="F139" s="122"/>
      <c r="G139" s="88"/>
      <c r="H139" s="89"/>
      <c r="I139" s="341"/>
      <c r="J139" s="42"/>
      <c r="K139" s="119"/>
      <c r="L139" s="121" t="s">
        <v>228</v>
      </c>
      <c r="M139" s="122"/>
      <c r="N139" s="122"/>
      <c r="O139" s="122"/>
      <c r="P139" s="122"/>
      <c r="Q139" s="88"/>
      <c r="R139" s="89"/>
      <c r="S139" s="341"/>
    </row>
    <row r="140" spans="1:19" ht="43.5" customHeight="1" thickBot="1" x14ac:dyDescent="0.3">
      <c r="A140" s="120"/>
      <c r="B140" s="123" t="s">
        <v>234</v>
      </c>
      <c r="C140" s="124"/>
      <c r="D140" s="124"/>
      <c r="E140" s="124"/>
      <c r="F140" s="124"/>
      <c r="G140" s="90"/>
      <c r="H140" s="91"/>
      <c r="I140" s="342"/>
      <c r="J140" s="43"/>
      <c r="K140" s="120"/>
      <c r="L140" s="123" t="s">
        <v>234</v>
      </c>
      <c r="M140" s="124"/>
      <c r="N140" s="124"/>
      <c r="O140" s="124"/>
      <c r="P140" s="124"/>
      <c r="Q140" s="90"/>
      <c r="R140" s="91"/>
      <c r="S140" s="342"/>
    </row>
    <row r="141" spans="1:19" ht="2.25" customHeight="1" thickBot="1" x14ac:dyDescent="0.3">
      <c r="A141" s="15"/>
      <c r="B141" s="137" t="s">
        <v>248</v>
      </c>
      <c r="C141" s="138"/>
      <c r="D141" s="138"/>
      <c r="E141" s="138"/>
      <c r="F141" s="138"/>
      <c r="G141" s="139"/>
      <c r="H141" s="140"/>
      <c r="I141" s="16"/>
      <c r="J141" s="44"/>
      <c r="K141" s="15"/>
      <c r="L141" s="137" t="s">
        <v>248</v>
      </c>
      <c r="M141" s="138"/>
      <c r="N141" s="138"/>
      <c r="O141" s="138"/>
      <c r="P141" s="138"/>
      <c r="Q141" s="139"/>
      <c r="R141" s="140"/>
      <c r="S141" s="16"/>
    </row>
    <row r="142" spans="1:19" ht="33.75" customHeight="1" thickBot="1" x14ac:dyDescent="0.3">
      <c r="A142" s="15"/>
      <c r="B142" s="137" t="s">
        <v>235</v>
      </c>
      <c r="C142" s="138"/>
      <c r="D142" s="138"/>
      <c r="E142" s="138"/>
      <c r="F142" s="138"/>
      <c r="G142" s="139"/>
      <c r="H142" s="140"/>
      <c r="I142" s="16"/>
      <c r="J142" s="40"/>
      <c r="K142" s="15"/>
      <c r="L142" s="137" t="s">
        <v>235</v>
      </c>
      <c r="M142" s="138"/>
      <c r="N142" s="138"/>
      <c r="O142" s="138"/>
      <c r="P142" s="138"/>
      <c r="Q142" s="139"/>
      <c r="R142" s="140"/>
      <c r="S142" s="16"/>
    </row>
    <row r="143" spans="1:19" ht="31.5" customHeight="1" thickBot="1" x14ac:dyDescent="0.3">
      <c r="A143" s="17"/>
      <c r="B143" s="78" t="s">
        <v>237</v>
      </c>
      <c r="C143" s="79"/>
      <c r="D143" s="79"/>
      <c r="E143" s="79"/>
      <c r="F143" s="79"/>
      <c r="G143" s="86">
        <v>5913</v>
      </c>
      <c r="H143" s="87"/>
      <c r="I143" s="108" t="s">
        <v>229</v>
      </c>
      <c r="J143" s="62"/>
      <c r="K143" s="17"/>
      <c r="L143" s="78" t="s">
        <v>237</v>
      </c>
      <c r="M143" s="79"/>
      <c r="N143" s="79"/>
      <c r="O143" s="79"/>
      <c r="P143" s="79"/>
      <c r="Q143" s="86">
        <v>4565</v>
      </c>
      <c r="R143" s="87"/>
      <c r="S143" s="108" t="s">
        <v>229</v>
      </c>
    </row>
    <row r="144" spans="1:19" ht="15.75" customHeight="1" thickBot="1" x14ac:dyDescent="0.3">
      <c r="A144" s="18"/>
      <c r="B144" s="110" t="s">
        <v>238</v>
      </c>
      <c r="C144" s="111"/>
      <c r="D144" s="111"/>
      <c r="E144" s="111"/>
      <c r="F144" s="111"/>
      <c r="G144" s="90"/>
      <c r="H144" s="91"/>
      <c r="I144" s="109"/>
      <c r="J144" s="46"/>
      <c r="K144" s="18"/>
      <c r="L144" s="110" t="s">
        <v>238</v>
      </c>
      <c r="M144" s="111"/>
      <c r="N144" s="111"/>
      <c r="O144" s="111"/>
      <c r="P144" s="111"/>
      <c r="Q144" s="90"/>
      <c r="R144" s="91"/>
      <c r="S144" s="109"/>
    </row>
    <row r="145" spans="1:19" ht="15.75" customHeight="1" thickBot="1" x14ac:dyDescent="0.3">
      <c r="A145" s="19"/>
      <c r="B145" s="112" t="s">
        <v>239</v>
      </c>
      <c r="C145" s="113"/>
      <c r="D145" s="113"/>
      <c r="E145" s="113"/>
      <c r="F145" s="113"/>
      <c r="G145" s="114">
        <f>SUM(G124:H144)</f>
        <v>449313.97200000001</v>
      </c>
      <c r="H145" s="115"/>
      <c r="I145" s="20"/>
      <c r="J145" s="47"/>
      <c r="K145" s="19"/>
      <c r="L145" s="112" t="s">
        <v>239</v>
      </c>
      <c r="M145" s="113"/>
      <c r="N145" s="113"/>
      <c r="O145" s="113"/>
      <c r="P145" s="113"/>
      <c r="Q145" s="114">
        <f>SUM(Q124:R144)</f>
        <v>377874.56</v>
      </c>
      <c r="R145" s="115"/>
      <c r="S145" s="20"/>
    </row>
    <row r="146" spans="1:19" ht="22.5" customHeight="1" thickBot="1" x14ac:dyDescent="0.3">
      <c r="A146" s="21"/>
      <c r="B146" s="101" t="s">
        <v>240</v>
      </c>
      <c r="C146" s="102"/>
      <c r="D146" s="102"/>
      <c r="E146" s="102"/>
      <c r="F146" s="102"/>
      <c r="G146" s="116">
        <f>G145*1.2</f>
        <v>539176.76639999996</v>
      </c>
      <c r="H146" s="117"/>
      <c r="I146" s="22"/>
      <c r="J146" s="47"/>
      <c r="K146" s="21"/>
      <c r="L146" s="101" t="s">
        <v>240</v>
      </c>
      <c r="M146" s="102"/>
      <c r="N146" s="102"/>
      <c r="O146" s="102"/>
      <c r="P146" s="102"/>
      <c r="Q146" s="116">
        <f>Q145*1.2</f>
        <v>453449.47200000001</v>
      </c>
      <c r="R146" s="117"/>
      <c r="S146" s="22"/>
    </row>
    <row r="147" spans="1:19" ht="22.5" customHeight="1" thickBot="1" x14ac:dyDescent="0.3">
      <c r="A147" s="24"/>
      <c r="B147" s="96" t="s">
        <v>443</v>
      </c>
      <c r="C147" s="97"/>
      <c r="D147" s="97"/>
      <c r="E147" s="97"/>
      <c r="F147" s="97"/>
      <c r="G147" s="311">
        <v>538400.22</v>
      </c>
      <c r="H147" s="312"/>
      <c r="I147" s="313"/>
      <c r="J147" s="47"/>
      <c r="K147" s="24"/>
      <c r="L147" s="96" t="s">
        <v>443</v>
      </c>
      <c r="M147" s="97"/>
      <c r="N147" s="97"/>
      <c r="O147" s="97"/>
      <c r="P147" s="97"/>
      <c r="Q147" s="311">
        <v>471876.72</v>
      </c>
      <c r="R147" s="312"/>
      <c r="S147" s="313"/>
    </row>
    <row r="148" spans="1:19" ht="22.5" customHeight="1" thickBot="1" x14ac:dyDescent="0.3">
      <c r="A148" s="19"/>
      <c r="B148" s="101" t="s">
        <v>242</v>
      </c>
      <c r="C148" s="102"/>
      <c r="D148" s="102"/>
      <c r="E148" s="102"/>
      <c r="F148" s="102"/>
      <c r="G148" s="307">
        <v>527559.31999999995</v>
      </c>
      <c r="H148" s="308"/>
      <c r="I148" s="309"/>
      <c r="J148" s="48"/>
      <c r="K148" s="19"/>
      <c r="L148" s="101" t="s">
        <v>242</v>
      </c>
      <c r="M148" s="102"/>
      <c r="N148" s="102"/>
      <c r="O148" s="102"/>
      <c r="P148" s="102"/>
      <c r="Q148" s="307">
        <v>442317.29</v>
      </c>
      <c r="R148" s="308"/>
      <c r="S148" s="309"/>
    </row>
    <row r="149" spans="1:19" ht="22.5" customHeight="1" thickBot="1" x14ac:dyDescent="0.3">
      <c r="A149" s="19"/>
      <c r="B149" s="106" t="s">
        <v>444</v>
      </c>
      <c r="C149" s="107"/>
      <c r="D149" s="107"/>
      <c r="E149" s="107"/>
      <c r="F149" s="107"/>
      <c r="G149" s="307">
        <v>90148.34</v>
      </c>
      <c r="H149" s="308"/>
      <c r="I149" s="309"/>
      <c r="J149" s="49"/>
      <c r="K149" s="19"/>
      <c r="L149" s="106" t="s">
        <v>444</v>
      </c>
      <c r="M149" s="107"/>
      <c r="N149" s="107"/>
      <c r="O149" s="107"/>
      <c r="P149" s="107"/>
      <c r="Q149" s="307">
        <v>154205.26</v>
      </c>
      <c r="R149" s="308"/>
      <c r="S149" s="309"/>
    </row>
    <row r="150" spans="1:19" ht="38.450000000000003" customHeight="1" x14ac:dyDescent="0.25">
      <c r="A150" s="4"/>
      <c r="B150" s="195"/>
      <c r="C150" s="195"/>
      <c r="D150" s="195"/>
      <c r="E150" s="195"/>
      <c r="F150" s="195"/>
      <c r="G150" s="195"/>
      <c r="H150" s="195"/>
      <c r="I150" s="195"/>
      <c r="K150" s="4"/>
      <c r="L150" s="339" t="s">
        <v>583</v>
      </c>
      <c r="M150" s="339"/>
      <c r="N150" s="339"/>
      <c r="O150" s="339"/>
      <c r="P150" s="339"/>
      <c r="Q150" s="339"/>
      <c r="R150" s="339"/>
      <c r="S150" s="339"/>
    </row>
    <row r="151" spans="1:19" x14ac:dyDescent="0.25">
      <c r="E151" s="50"/>
      <c r="I151" s="5"/>
      <c r="O151" s="50"/>
      <c r="S151" s="5"/>
    </row>
    <row r="152" spans="1:19" x14ac:dyDescent="0.25">
      <c r="A152" s="3"/>
      <c r="I152" s="5"/>
      <c r="K152" s="3"/>
      <c r="S152" s="5"/>
    </row>
    <row r="153" spans="1:19" ht="15.75" x14ac:dyDescent="0.25">
      <c r="A153" s="30"/>
      <c r="K153" s="30"/>
    </row>
    <row r="154" spans="1:19" ht="15.75" x14ac:dyDescent="0.25">
      <c r="A154" s="30"/>
      <c r="K154" s="30"/>
    </row>
    <row r="155" spans="1:19" x14ac:dyDescent="0.25">
      <c r="A155" s="3"/>
      <c r="B155" s="3"/>
      <c r="C155" s="3"/>
      <c r="D155" s="3"/>
      <c r="E155" s="4" t="s">
        <v>204</v>
      </c>
      <c r="F155" s="3"/>
      <c r="G155" s="3"/>
      <c r="H155" s="3"/>
      <c r="I155" s="3"/>
      <c r="K155" s="3"/>
      <c r="L155" s="3"/>
      <c r="M155" s="3"/>
      <c r="N155" s="3"/>
      <c r="O155" s="4" t="s">
        <v>204</v>
      </c>
      <c r="P155" s="3"/>
      <c r="Q155" s="3"/>
      <c r="R155" s="3"/>
      <c r="S155" s="3"/>
    </row>
    <row r="156" spans="1:19" x14ac:dyDescent="0.25">
      <c r="A156" s="3" t="s">
        <v>205</v>
      </c>
      <c r="B156" s="3"/>
      <c r="C156" s="3"/>
      <c r="D156" s="3" t="s">
        <v>357</v>
      </c>
      <c r="E156" s="3"/>
      <c r="F156" s="3"/>
      <c r="G156" s="3"/>
      <c r="H156" s="3"/>
      <c r="I156" s="3"/>
      <c r="K156" s="3" t="s">
        <v>205</v>
      </c>
      <c r="L156" s="3"/>
      <c r="M156" s="3"/>
      <c r="N156" s="3" t="s">
        <v>358</v>
      </c>
      <c r="O156" s="3"/>
      <c r="P156" s="3"/>
      <c r="Q156" s="3"/>
      <c r="R156" s="3"/>
      <c r="S156" s="3"/>
    </row>
    <row r="157" spans="1:19" x14ac:dyDescent="0.25">
      <c r="A157" s="3"/>
      <c r="B157" s="5" t="s">
        <v>440</v>
      </c>
      <c r="C157" s="3"/>
      <c r="D157" s="3"/>
      <c r="E157" s="3"/>
      <c r="F157" s="3"/>
      <c r="G157" s="3"/>
      <c r="H157" s="3"/>
      <c r="I157" s="3"/>
      <c r="K157" s="3"/>
      <c r="L157" s="5" t="s">
        <v>440</v>
      </c>
      <c r="M157" s="3"/>
      <c r="N157" s="3"/>
      <c r="O157" s="3"/>
      <c r="P157" s="3"/>
      <c r="Q157" s="3"/>
      <c r="R157" s="3"/>
      <c r="S157" s="3"/>
    </row>
    <row r="158" spans="1:19" ht="15.75" thickBot="1" x14ac:dyDescent="0.3">
      <c r="A158" s="3"/>
      <c r="B158" s="5" t="s">
        <v>206</v>
      </c>
      <c r="C158" s="3"/>
      <c r="D158" s="3"/>
      <c r="E158" s="3"/>
      <c r="F158" s="3">
        <f>'[1]ж-2.2'!$O$9</f>
        <v>4527.5</v>
      </c>
      <c r="G158" s="3" t="s">
        <v>207</v>
      </c>
      <c r="H158" s="3"/>
      <c r="I158" s="3"/>
      <c r="J158" s="3"/>
      <c r="K158" s="3"/>
      <c r="L158" s="5" t="s">
        <v>206</v>
      </c>
      <c r="M158" s="3"/>
      <c r="N158" s="3"/>
      <c r="O158" s="3"/>
      <c r="P158" s="3">
        <f>'[1]ж-2.2'!$P$9</f>
        <v>6179.1</v>
      </c>
      <c r="Q158" s="3" t="s">
        <v>207</v>
      </c>
      <c r="R158" s="3"/>
      <c r="S158" s="3"/>
    </row>
    <row r="159" spans="1:19" ht="15.75" customHeight="1" thickBot="1" x14ac:dyDescent="0.3">
      <c r="A159" s="175" t="s">
        <v>209</v>
      </c>
      <c r="B159" s="177" t="s">
        <v>210</v>
      </c>
      <c r="C159" s="178"/>
      <c r="D159" s="178"/>
      <c r="E159" s="178"/>
      <c r="F159" s="178"/>
      <c r="G159" s="180" t="s">
        <v>442</v>
      </c>
      <c r="H159" s="181"/>
      <c r="I159" s="175" t="s">
        <v>212</v>
      </c>
      <c r="J159" s="3"/>
      <c r="K159" s="175" t="s">
        <v>209</v>
      </c>
      <c r="L159" s="177" t="s">
        <v>210</v>
      </c>
      <c r="M159" s="178"/>
      <c r="N159" s="178"/>
      <c r="O159" s="178"/>
      <c r="P159" s="178"/>
      <c r="Q159" s="180" t="s">
        <v>442</v>
      </c>
      <c r="R159" s="181"/>
      <c r="S159" s="175" t="s">
        <v>212</v>
      </c>
    </row>
    <row r="160" spans="1:19" ht="66" customHeight="1" thickBot="1" x14ac:dyDescent="0.3">
      <c r="A160" s="176"/>
      <c r="B160" s="179"/>
      <c r="C160" s="179"/>
      <c r="D160" s="179"/>
      <c r="E160" s="179"/>
      <c r="F160" s="179"/>
      <c r="G160" s="182"/>
      <c r="H160" s="183"/>
      <c r="I160" s="184"/>
      <c r="J160" s="31"/>
      <c r="K160" s="176"/>
      <c r="L160" s="179"/>
      <c r="M160" s="179"/>
      <c r="N160" s="179"/>
      <c r="O160" s="179"/>
      <c r="P160" s="179"/>
      <c r="Q160" s="182"/>
      <c r="R160" s="183"/>
      <c r="S160" s="184"/>
    </row>
    <row r="161" spans="1:19" ht="19.5" customHeight="1" thickBot="1" x14ac:dyDescent="0.3">
      <c r="A161" s="185" t="s">
        <v>213</v>
      </c>
      <c r="B161" s="187" t="s">
        <v>354</v>
      </c>
      <c r="C161" s="188"/>
      <c r="D161" s="188"/>
      <c r="E161" s="188"/>
      <c r="F161" s="188"/>
      <c r="G161" s="190">
        <v>64122.25</v>
      </c>
      <c r="H161" s="191"/>
      <c r="I161" s="192"/>
      <c r="J161" s="32"/>
      <c r="K161" s="185" t="s">
        <v>213</v>
      </c>
      <c r="L161" s="187" t="s">
        <v>354</v>
      </c>
      <c r="M161" s="188"/>
      <c r="N161" s="188"/>
      <c r="O161" s="188"/>
      <c r="P161" s="188"/>
      <c r="Q161" s="190">
        <v>106859.4</v>
      </c>
      <c r="R161" s="191"/>
      <c r="S161" s="192"/>
    </row>
    <row r="162" spans="1:19" ht="15.75" hidden="1" customHeight="1" x14ac:dyDescent="0.25">
      <c r="A162" s="186"/>
      <c r="B162" s="189"/>
      <c r="C162" s="189"/>
      <c r="D162" s="189"/>
      <c r="E162" s="189"/>
      <c r="F162" s="189"/>
      <c r="G162" s="193"/>
      <c r="H162" s="194"/>
      <c r="I162" s="128"/>
      <c r="J162" s="33"/>
      <c r="K162" s="186"/>
      <c r="L162" s="189"/>
      <c r="M162" s="189"/>
      <c r="N162" s="189"/>
      <c r="O162" s="189"/>
      <c r="P162" s="189"/>
      <c r="Q162" s="193"/>
      <c r="R162" s="194"/>
      <c r="S162" s="128"/>
    </row>
    <row r="163" spans="1:19" ht="16.5" customHeight="1" x14ac:dyDescent="0.25">
      <c r="A163" s="6"/>
      <c r="B163" s="161" t="s">
        <v>214</v>
      </c>
      <c r="C163" s="162"/>
      <c r="D163" s="162"/>
      <c r="E163" s="162"/>
      <c r="F163" s="162"/>
      <c r="G163" s="163">
        <f>1.61*12*F158</f>
        <v>87471.3</v>
      </c>
      <c r="H163" s="164"/>
      <c r="I163" s="169" t="s">
        <v>215</v>
      </c>
      <c r="J163" s="36"/>
      <c r="K163" s="6"/>
      <c r="L163" s="161" t="s">
        <v>214</v>
      </c>
      <c r="M163" s="162"/>
      <c r="N163" s="162"/>
      <c r="O163" s="162"/>
      <c r="P163" s="162"/>
      <c r="Q163" s="163">
        <f>1.49*12*P158</f>
        <v>110482.308</v>
      </c>
      <c r="R163" s="164"/>
      <c r="S163" s="169" t="s">
        <v>215</v>
      </c>
    </row>
    <row r="164" spans="1:19" ht="29.25" customHeight="1" thickBot="1" x14ac:dyDescent="0.3">
      <c r="A164" s="7"/>
      <c r="B164" s="171" t="s">
        <v>216</v>
      </c>
      <c r="C164" s="172"/>
      <c r="D164" s="172"/>
      <c r="E164" s="172"/>
      <c r="F164" s="172"/>
      <c r="G164" s="165"/>
      <c r="H164" s="166"/>
      <c r="I164" s="170"/>
      <c r="J164" s="35"/>
      <c r="K164" s="7"/>
      <c r="L164" s="171" t="s">
        <v>216</v>
      </c>
      <c r="M164" s="172"/>
      <c r="N164" s="172"/>
      <c r="O164" s="172"/>
      <c r="P164" s="172"/>
      <c r="Q164" s="165"/>
      <c r="R164" s="166"/>
      <c r="S164" s="170"/>
    </row>
    <row r="165" spans="1:19" ht="13.5" customHeight="1" thickBot="1" x14ac:dyDescent="0.3">
      <c r="A165" s="7"/>
      <c r="B165" s="173" t="s">
        <v>217</v>
      </c>
      <c r="C165" s="174"/>
      <c r="D165" s="174"/>
      <c r="E165" s="174"/>
      <c r="F165" s="174"/>
      <c r="G165" s="167"/>
      <c r="H165" s="168"/>
      <c r="I165" s="8" t="s">
        <v>218</v>
      </c>
      <c r="J165" s="36"/>
      <c r="K165" s="7"/>
      <c r="L165" s="173" t="s">
        <v>217</v>
      </c>
      <c r="M165" s="174"/>
      <c r="N165" s="174"/>
      <c r="O165" s="174"/>
      <c r="P165" s="174"/>
      <c r="Q165" s="167"/>
      <c r="R165" s="168"/>
      <c r="S165" s="8" t="s">
        <v>218</v>
      </c>
    </row>
    <row r="166" spans="1:19" ht="13.5" customHeight="1" thickBot="1" x14ac:dyDescent="0.3">
      <c r="A166" s="7"/>
      <c r="B166" s="141" t="s">
        <v>219</v>
      </c>
      <c r="C166" s="142"/>
      <c r="D166" s="142"/>
      <c r="E166" s="142"/>
      <c r="F166" s="142"/>
      <c r="G166" s="143">
        <v>0</v>
      </c>
      <c r="H166" s="144"/>
      <c r="I166" s="8" t="s">
        <v>220</v>
      </c>
      <c r="J166" s="36"/>
      <c r="K166" s="7"/>
      <c r="L166" s="141" t="s">
        <v>219</v>
      </c>
      <c r="M166" s="142"/>
      <c r="N166" s="142"/>
      <c r="O166" s="142"/>
      <c r="P166" s="142"/>
      <c r="Q166" s="143">
        <v>0</v>
      </c>
      <c r="R166" s="144"/>
      <c r="S166" s="8" t="s">
        <v>220</v>
      </c>
    </row>
    <row r="167" spans="1:19" ht="13.5" customHeight="1" thickBot="1" x14ac:dyDescent="0.3">
      <c r="A167" s="7"/>
      <c r="B167" s="141" t="s">
        <v>221</v>
      </c>
      <c r="C167" s="142"/>
      <c r="D167" s="142"/>
      <c r="E167" s="142"/>
      <c r="F167" s="142"/>
      <c r="G167" s="143">
        <f>0.47*12*F158</f>
        <v>25535.1</v>
      </c>
      <c r="H167" s="144"/>
      <c r="I167" s="8" t="s">
        <v>222</v>
      </c>
      <c r="J167" s="37"/>
      <c r="K167" s="7"/>
      <c r="L167" s="141" t="s">
        <v>221</v>
      </c>
      <c r="M167" s="142"/>
      <c r="N167" s="142"/>
      <c r="O167" s="142"/>
      <c r="P167" s="142"/>
      <c r="Q167" s="143">
        <f>0.47*12*P158</f>
        <v>34850.124000000003</v>
      </c>
      <c r="R167" s="144"/>
      <c r="S167" s="8" t="s">
        <v>222</v>
      </c>
    </row>
    <row r="168" spans="1:19" ht="13.5" customHeight="1" x14ac:dyDescent="0.25">
      <c r="A168" s="9"/>
      <c r="B168" s="145" t="s">
        <v>223</v>
      </c>
      <c r="C168" s="146"/>
      <c r="D168" s="146"/>
      <c r="E168" s="146"/>
      <c r="F168" s="146"/>
      <c r="G168" s="86">
        <f>2.09*12*F158</f>
        <v>113549.7</v>
      </c>
      <c r="H168" s="147"/>
      <c r="I168" s="152" t="s">
        <v>224</v>
      </c>
      <c r="J168" s="38"/>
      <c r="K168" s="9"/>
      <c r="L168" s="145" t="s">
        <v>223</v>
      </c>
      <c r="M168" s="146"/>
      <c r="N168" s="146"/>
      <c r="O168" s="146"/>
      <c r="P168" s="146"/>
      <c r="Q168" s="86">
        <f>1.99*12*P158</f>
        <v>147556.908</v>
      </c>
      <c r="R168" s="147"/>
      <c r="S168" s="152" t="s">
        <v>224</v>
      </c>
    </row>
    <row r="169" spans="1:19" ht="13.5" customHeight="1" x14ac:dyDescent="0.25">
      <c r="A169" s="10"/>
      <c r="B169" s="155" t="s">
        <v>226</v>
      </c>
      <c r="C169" s="156"/>
      <c r="D169" s="156"/>
      <c r="E169" s="156"/>
      <c r="F169" s="156"/>
      <c r="G169" s="148"/>
      <c r="H169" s="149"/>
      <c r="I169" s="153"/>
      <c r="J169" s="38"/>
      <c r="K169" s="10"/>
      <c r="L169" s="155" t="s">
        <v>226</v>
      </c>
      <c r="M169" s="156"/>
      <c r="N169" s="156"/>
      <c r="O169" s="156"/>
      <c r="P169" s="156"/>
      <c r="Q169" s="148"/>
      <c r="R169" s="149"/>
      <c r="S169" s="153"/>
    </row>
    <row r="170" spans="1:19" ht="13.5" customHeight="1" thickBot="1" x14ac:dyDescent="0.3">
      <c r="A170" s="10"/>
      <c r="B170" s="157" t="s">
        <v>227</v>
      </c>
      <c r="C170" s="158"/>
      <c r="D170" s="158"/>
      <c r="E170" s="158"/>
      <c r="F170" s="158"/>
      <c r="G170" s="148"/>
      <c r="H170" s="149"/>
      <c r="I170" s="154"/>
      <c r="J170" s="39"/>
      <c r="K170" s="10"/>
      <c r="L170" s="157" t="s">
        <v>227</v>
      </c>
      <c r="M170" s="158"/>
      <c r="N170" s="158"/>
      <c r="O170" s="158"/>
      <c r="P170" s="158"/>
      <c r="Q170" s="148"/>
      <c r="R170" s="149"/>
      <c r="S170" s="154"/>
    </row>
    <row r="171" spans="1:19" ht="13.5" customHeight="1" thickBot="1" x14ac:dyDescent="0.3">
      <c r="A171" s="10"/>
      <c r="B171" s="159" t="s">
        <v>228</v>
      </c>
      <c r="C171" s="160"/>
      <c r="D171" s="160"/>
      <c r="E171" s="160"/>
      <c r="F171" s="160"/>
      <c r="G171" s="150"/>
      <c r="H171" s="151"/>
      <c r="I171" s="11" t="s">
        <v>229</v>
      </c>
      <c r="J171" s="36"/>
      <c r="K171" s="10"/>
      <c r="L171" s="159" t="s">
        <v>228</v>
      </c>
      <c r="M171" s="160"/>
      <c r="N171" s="160"/>
      <c r="O171" s="160"/>
      <c r="P171" s="160"/>
      <c r="Q171" s="150"/>
      <c r="R171" s="151"/>
      <c r="S171" s="11" t="s">
        <v>229</v>
      </c>
    </row>
    <row r="172" spans="1:19" ht="13.5" customHeight="1" x14ac:dyDescent="0.25">
      <c r="A172" s="12"/>
      <c r="B172" s="125" t="s">
        <v>230</v>
      </c>
      <c r="C172" s="126"/>
      <c r="D172" s="126"/>
      <c r="E172" s="126"/>
      <c r="F172" s="126"/>
      <c r="G172" s="86">
        <f>0.03*12*F158</f>
        <v>1629.8999999999999</v>
      </c>
      <c r="H172" s="87"/>
      <c r="I172" s="129" t="s">
        <v>220</v>
      </c>
      <c r="J172" s="36"/>
      <c r="K172" s="12"/>
      <c r="L172" s="125" t="s">
        <v>230</v>
      </c>
      <c r="M172" s="126"/>
      <c r="N172" s="126"/>
      <c r="O172" s="126"/>
      <c r="P172" s="126"/>
      <c r="Q172" s="86">
        <f>0.04*12*P158</f>
        <v>2965.9679999999998</v>
      </c>
      <c r="R172" s="87"/>
      <c r="S172" s="129" t="s">
        <v>220</v>
      </c>
    </row>
    <row r="173" spans="1:19" ht="13.5" customHeight="1" thickBot="1" x14ac:dyDescent="0.3">
      <c r="A173" s="7"/>
      <c r="B173" s="131" t="s">
        <v>231</v>
      </c>
      <c r="C173" s="132"/>
      <c r="D173" s="132"/>
      <c r="E173" s="132"/>
      <c r="F173" s="132"/>
      <c r="G173" s="127"/>
      <c r="H173" s="128"/>
      <c r="I173" s="130"/>
      <c r="J173" s="36"/>
      <c r="K173" s="7"/>
      <c r="L173" s="131" t="s">
        <v>231</v>
      </c>
      <c r="M173" s="132"/>
      <c r="N173" s="132"/>
      <c r="O173" s="132"/>
      <c r="P173" s="132"/>
      <c r="Q173" s="127"/>
      <c r="R173" s="128"/>
      <c r="S173" s="130"/>
    </row>
    <row r="174" spans="1:19" ht="15.75" customHeight="1" thickBot="1" x14ac:dyDescent="0.3">
      <c r="A174" s="13"/>
      <c r="B174" s="133" t="s">
        <v>232</v>
      </c>
      <c r="C174" s="134"/>
      <c r="D174" s="134"/>
      <c r="E174" s="134"/>
      <c r="F174" s="134"/>
      <c r="G174" s="135"/>
      <c r="H174" s="136"/>
      <c r="I174" s="14"/>
      <c r="J174" s="36"/>
      <c r="K174" s="13"/>
      <c r="L174" s="133" t="s">
        <v>232</v>
      </c>
      <c r="M174" s="134"/>
      <c r="N174" s="134"/>
      <c r="O174" s="134"/>
      <c r="P174" s="134"/>
      <c r="Q174" s="135"/>
      <c r="R174" s="136"/>
      <c r="S174" s="14"/>
    </row>
    <row r="175" spans="1:19" ht="15.75" customHeight="1" thickBot="1" x14ac:dyDescent="0.3">
      <c r="A175" s="13"/>
      <c r="B175" s="84" t="s">
        <v>233</v>
      </c>
      <c r="C175" s="85"/>
      <c r="D175" s="85"/>
      <c r="E175" s="85"/>
      <c r="F175" s="85"/>
      <c r="G175" s="86">
        <f>1.32*12*F158</f>
        <v>71715.600000000006</v>
      </c>
      <c r="H175" s="87"/>
      <c r="I175" s="92" t="s">
        <v>585</v>
      </c>
      <c r="J175" s="41"/>
      <c r="K175" s="13"/>
      <c r="L175" s="84" t="s">
        <v>233</v>
      </c>
      <c r="M175" s="85"/>
      <c r="N175" s="85"/>
      <c r="O175" s="85"/>
      <c r="P175" s="85"/>
      <c r="Q175" s="86">
        <f>1.5*12*P158</f>
        <v>111223.8</v>
      </c>
      <c r="R175" s="87"/>
      <c r="S175" s="92" t="s">
        <v>586</v>
      </c>
    </row>
    <row r="176" spans="1:19" ht="44.25" customHeight="1" x14ac:dyDescent="0.25">
      <c r="A176" s="118"/>
      <c r="B176" s="121" t="s">
        <v>226</v>
      </c>
      <c r="C176" s="122"/>
      <c r="D176" s="122"/>
      <c r="E176" s="122"/>
      <c r="F176" s="122"/>
      <c r="G176" s="88"/>
      <c r="H176" s="89"/>
      <c r="I176" s="93"/>
      <c r="J176" s="41"/>
      <c r="K176" s="118"/>
      <c r="L176" s="121" t="s">
        <v>226</v>
      </c>
      <c r="M176" s="122"/>
      <c r="N176" s="122"/>
      <c r="O176" s="122"/>
      <c r="P176" s="122"/>
      <c r="Q176" s="88"/>
      <c r="R176" s="89"/>
      <c r="S176" s="93"/>
    </row>
    <row r="177" spans="1:19" ht="57.75" customHeight="1" x14ac:dyDescent="0.25">
      <c r="A177" s="119"/>
      <c r="B177" s="121" t="s">
        <v>227</v>
      </c>
      <c r="C177" s="122"/>
      <c r="D177" s="122"/>
      <c r="E177" s="122"/>
      <c r="F177" s="122"/>
      <c r="G177" s="88"/>
      <c r="H177" s="89"/>
      <c r="I177" s="93"/>
      <c r="J177" s="41"/>
      <c r="K177" s="119"/>
      <c r="L177" s="121" t="s">
        <v>227</v>
      </c>
      <c r="M177" s="122"/>
      <c r="N177" s="122"/>
      <c r="O177" s="122"/>
      <c r="P177" s="122"/>
      <c r="Q177" s="88"/>
      <c r="R177" s="89"/>
      <c r="S177" s="93"/>
    </row>
    <row r="178" spans="1:19" ht="63" customHeight="1" x14ac:dyDescent="0.25">
      <c r="A178" s="119"/>
      <c r="B178" s="121" t="s">
        <v>228</v>
      </c>
      <c r="C178" s="122"/>
      <c r="D178" s="122"/>
      <c r="E178" s="122"/>
      <c r="F178" s="122"/>
      <c r="G178" s="88"/>
      <c r="H178" s="89"/>
      <c r="I178" s="93"/>
      <c r="J178" s="41"/>
      <c r="K178" s="119"/>
      <c r="L178" s="121" t="s">
        <v>228</v>
      </c>
      <c r="M178" s="122"/>
      <c r="N178" s="122"/>
      <c r="O178" s="122"/>
      <c r="P178" s="122"/>
      <c r="Q178" s="88"/>
      <c r="R178" s="89"/>
      <c r="S178" s="93"/>
    </row>
    <row r="179" spans="1:19" ht="60.75" customHeight="1" thickBot="1" x14ac:dyDescent="0.3">
      <c r="A179" s="120"/>
      <c r="B179" s="123" t="s">
        <v>234</v>
      </c>
      <c r="C179" s="124"/>
      <c r="D179" s="124"/>
      <c r="E179" s="124"/>
      <c r="F179" s="124"/>
      <c r="G179" s="90"/>
      <c r="H179" s="91"/>
      <c r="I179" s="94"/>
      <c r="J179" s="42"/>
      <c r="K179" s="120"/>
      <c r="L179" s="123" t="s">
        <v>234</v>
      </c>
      <c r="M179" s="124"/>
      <c r="N179" s="124"/>
      <c r="O179" s="124"/>
      <c r="P179" s="124"/>
      <c r="Q179" s="90"/>
      <c r="R179" s="91"/>
      <c r="S179" s="94"/>
    </row>
    <row r="180" spans="1:19" ht="2.25" customHeight="1" thickBot="1" x14ac:dyDescent="0.3">
      <c r="A180" s="15"/>
      <c r="B180" s="137" t="s">
        <v>248</v>
      </c>
      <c r="C180" s="138"/>
      <c r="D180" s="138"/>
      <c r="E180" s="138"/>
      <c r="F180" s="138"/>
      <c r="G180" s="139"/>
      <c r="H180" s="140"/>
      <c r="I180" s="16"/>
      <c r="J180" s="43"/>
      <c r="K180" s="15"/>
      <c r="L180" s="137" t="s">
        <v>248</v>
      </c>
      <c r="M180" s="138"/>
      <c r="N180" s="138"/>
      <c r="O180" s="138"/>
      <c r="P180" s="138"/>
      <c r="Q180" s="139"/>
      <c r="R180" s="140"/>
      <c r="S180" s="16"/>
    </row>
    <row r="181" spans="1:19" ht="0.75" customHeight="1" thickBot="1" x14ac:dyDescent="0.3">
      <c r="A181" s="15"/>
      <c r="B181" s="137" t="s">
        <v>235</v>
      </c>
      <c r="C181" s="138"/>
      <c r="D181" s="138"/>
      <c r="E181" s="138"/>
      <c r="F181" s="138"/>
      <c r="G181" s="139"/>
      <c r="H181" s="140"/>
      <c r="I181" s="16"/>
      <c r="J181" s="44"/>
      <c r="K181" s="15"/>
      <c r="L181" s="137" t="s">
        <v>235</v>
      </c>
      <c r="M181" s="138"/>
      <c r="N181" s="138"/>
      <c r="O181" s="138"/>
      <c r="P181" s="138"/>
      <c r="Q181" s="139"/>
      <c r="R181" s="140"/>
      <c r="S181" s="16"/>
    </row>
    <row r="182" spans="1:19" ht="31.5" customHeight="1" thickBot="1" x14ac:dyDescent="0.3">
      <c r="A182" s="17"/>
      <c r="B182" s="78" t="s">
        <v>237</v>
      </c>
      <c r="C182" s="79"/>
      <c r="D182" s="79"/>
      <c r="E182" s="79"/>
      <c r="F182" s="79"/>
      <c r="G182" s="86">
        <v>5300</v>
      </c>
      <c r="H182" s="87"/>
      <c r="I182" s="108" t="s">
        <v>229</v>
      </c>
      <c r="J182" s="40"/>
      <c r="K182" s="17"/>
      <c r="L182" s="78" t="s">
        <v>237</v>
      </c>
      <c r="M182" s="79"/>
      <c r="N182" s="79"/>
      <c r="O182" s="79"/>
      <c r="P182" s="79"/>
      <c r="Q182" s="86">
        <v>5414</v>
      </c>
      <c r="R182" s="87"/>
      <c r="S182" s="108" t="s">
        <v>229</v>
      </c>
    </row>
    <row r="183" spans="1:19" ht="15.75" thickBot="1" x14ac:dyDescent="0.3">
      <c r="A183" s="18"/>
      <c r="B183" s="110" t="s">
        <v>238</v>
      </c>
      <c r="C183" s="111"/>
      <c r="D183" s="111"/>
      <c r="E183" s="111"/>
      <c r="F183" s="111"/>
      <c r="G183" s="90"/>
      <c r="H183" s="91"/>
      <c r="I183" s="109"/>
      <c r="J183" s="45"/>
      <c r="K183" s="18"/>
      <c r="L183" s="110" t="s">
        <v>238</v>
      </c>
      <c r="M183" s="111"/>
      <c r="N183" s="111"/>
      <c r="O183" s="111"/>
      <c r="P183" s="111"/>
      <c r="Q183" s="90"/>
      <c r="R183" s="91"/>
      <c r="S183" s="109"/>
    </row>
    <row r="184" spans="1:19" ht="15.75" thickBot="1" x14ac:dyDescent="0.3">
      <c r="A184" s="19"/>
      <c r="B184" s="112" t="s">
        <v>239</v>
      </c>
      <c r="C184" s="113"/>
      <c r="D184" s="113"/>
      <c r="E184" s="113"/>
      <c r="F184" s="113"/>
      <c r="G184" s="114">
        <f>SUM(G163:H183)</f>
        <v>305201.59999999998</v>
      </c>
      <c r="H184" s="115"/>
      <c r="I184" s="20"/>
      <c r="J184" s="46"/>
      <c r="K184" s="19"/>
      <c r="L184" s="112" t="s">
        <v>239</v>
      </c>
      <c r="M184" s="113"/>
      <c r="N184" s="113"/>
      <c r="O184" s="113"/>
      <c r="P184" s="113"/>
      <c r="Q184" s="114">
        <f>SUM(Q163:R183)</f>
        <v>412493.10799999995</v>
      </c>
      <c r="R184" s="115"/>
      <c r="S184" s="20"/>
    </row>
    <row r="185" spans="1:19" ht="24.75" customHeight="1" thickBot="1" x14ac:dyDescent="0.3">
      <c r="A185" s="21"/>
      <c r="B185" s="101" t="s">
        <v>240</v>
      </c>
      <c r="C185" s="102"/>
      <c r="D185" s="102"/>
      <c r="E185" s="102"/>
      <c r="F185" s="102"/>
      <c r="G185" s="116">
        <f>G184*1.2</f>
        <v>366241.92</v>
      </c>
      <c r="H185" s="117"/>
      <c r="I185" s="22"/>
      <c r="J185" s="47"/>
      <c r="K185" s="21"/>
      <c r="L185" s="101" t="s">
        <v>240</v>
      </c>
      <c r="M185" s="102"/>
      <c r="N185" s="102"/>
      <c r="O185" s="102"/>
      <c r="P185" s="102"/>
      <c r="Q185" s="116">
        <f>Q184*1.2</f>
        <v>494991.7295999999</v>
      </c>
      <c r="R185" s="117"/>
      <c r="S185" s="22"/>
    </row>
    <row r="186" spans="1:19" ht="24.75" customHeight="1" thickBot="1" x14ac:dyDescent="0.3">
      <c r="A186" s="24"/>
      <c r="B186" s="96" t="s">
        <v>443</v>
      </c>
      <c r="C186" s="97"/>
      <c r="D186" s="97"/>
      <c r="E186" s="97"/>
      <c r="F186" s="97"/>
      <c r="G186" s="311">
        <v>364035.58</v>
      </c>
      <c r="H186" s="312"/>
      <c r="I186" s="313"/>
      <c r="J186" s="47"/>
      <c r="K186" s="24"/>
      <c r="L186" s="96" t="s">
        <v>443</v>
      </c>
      <c r="M186" s="97"/>
      <c r="N186" s="97"/>
      <c r="O186" s="97"/>
      <c r="P186" s="97"/>
      <c r="Q186" s="311">
        <v>498824.37</v>
      </c>
      <c r="R186" s="312"/>
      <c r="S186" s="313"/>
    </row>
    <row r="187" spans="1:19" ht="24.75" customHeight="1" thickBot="1" x14ac:dyDescent="0.3">
      <c r="A187" s="19"/>
      <c r="B187" s="101" t="s">
        <v>242</v>
      </c>
      <c r="C187" s="102"/>
      <c r="D187" s="102"/>
      <c r="E187" s="102"/>
      <c r="F187" s="102"/>
      <c r="G187" s="307">
        <v>370344.31</v>
      </c>
      <c r="H187" s="308"/>
      <c r="I187" s="309"/>
      <c r="J187" s="47"/>
      <c r="K187" s="19"/>
      <c r="L187" s="101" t="s">
        <v>242</v>
      </c>
      <c r="M187" s="102"/>
      <c r="N187" s="102"/>
      <c r="O187" s="102"/>
      <c r="P187" s="102"/>
      <c r="Q187" s="307">
        <v>495644.05</v>
      </c>
      <c r="R187" s="308"/>
      <c r="S187" s="309"/>
    </row>
    <row r="188" spans="1:19" ht="24.75" customHeight="1" thickBot="1" x14ac:dyDescent="0.3">
      <c r="A188" s="19"/>
      <c r="B188" s="106" t="s">
        <v>444</v>
      </c>
      <c r="C188" s="107"/>
      <c r="D188" s="107"/>
      <c r="E188" s="107"/>
      <c r="F188" s="107"/>
      <c r="G188" s="307">
        <v>57813.52</v>
      </c>
      <c r="H188" s="308"/>
      <c r="I188" s="309"/>
      <c r="J188" s="47"/>
      <c r="K188" s="19"/>
      <c r="L188" s="106" t="s">
        <v>444</v>
      </c>
      <c r="M188" s="107"/>
      <c r="N188" s="107"/>
      <c r="O188" s="107"/>
      <c r="P188" s="107"/>
      <c r="Q188" s="307">
        <v>110039.72</v>
      </c>
      <c r="R188" s="308"/>
      <c r="S188" s="309"/>
    </row>
    <row r="189" spans="1:19" ht="15.75" x14ac:dyDescent="0.25">
      <c r="A189" s="30"/>
      <c r="C189" s="30"/>
      <c r="K189" s="30"/>
      <c r="N189" s="30"/>
    </row>
    <row r="190" spans="1:19" ht="15.75" x14ac:dyDescent="0.25">
      <c r="A190" s="30"/>
      <c r="C190" s="30"/>
      <c r="K190" s="30"/>
      <c r="N190" s="30"/>
    </row>
    <row r="191" spans="1:19" ht="15.75" x14ac:dyDescent="0.25">
      <c r="A191" s="30"/>
      <c r="C191" s="30"/>
      <c r="K191" s="30"/>
      <c r="N191" s="30"/>
    </row>
    <row r="192" spans="1:19" x14ac:dyDescent="0.25">
      <c r="A192" s="3"/>
      <c r="B192" s="3"/>
      <c r="C192" s="3"/>
      <c r="D192" s="3"/>
      <c r="E192" s="4" t="s">
        <v>204</v>
      </c>
      <c r="F192" s="3"/>
      <c r="G192" s="3"/>
      <c r="H192" s="3"/>
      <c r="I192" s="3"/>
      <c r="K192" s="3"/>
      <c r="L192" s="3"/>
      <c r="M192" s="3"/>
      <c r="N192" s="3"/>
      <c r="O192" s="4" t="s">
        <v>204</v>
      </c>
      <c r="P192" s="3"/>
      <c r="Q192" s="3"/>
      <c r="R192" s="3"/>
      <c r="S192" s="3"/>
    </row>
    <row r="193" spans="1:19" x14ac:dyDescent="0.25">
      <c r="A193" s="3" t="s">
        <v>205</v>
      </c>
      <c r="B193" s="3"/>
      <c r="C193" s="3"/>
      <c r="D193" s="3" t="s">
        <v>702</v>
      </c>
      <c r="E193" s="3"/>
      <c r="F193" s="3"/>
      <c r="G193" s="3"/>
      <c r="H193" s="3"/>
      <c r="I193" s="3"/>
      <c r="K193" s="3" t="s">
        <v>205</v>
      </c>
      <c r="L193" s="3"/>
      <c r="M193" s="3"/>
      <c r="N193" s="3" t="s">
        <v>703</v>
      </c>
      <c r="O193" s="3"/>
      <c r="P193" s="3"/>
      <c r="Q193" s="3"/>
      <c r="R193" s="3"/>
      <c r="S193" s="3"/>
    </row>
    <row r="194" spans="1:19" x14ac:dyDescent="0.25">
      <c r="A194" s="3"/>
      <c r="B194" s="5" t="s">
        <v>440</v>
      </c>
      <c r="C194" s="3"/>
      <c r="D194" s="3"/>
      <c r="E194" s="3"/>
      <c r="F194" s="3"/>
      <c r="G194" s="3"/>
      <c r="H194" s="3"/>
      <c r="I194" s="3"/>
      <c r="K194" s="3"/>
      <c r="L194" s="5" t="s">
        <v>440</v>
      </c>
      <c r="M194" s="3"/>
      <c r="N194" s="3"/>
      <c r="O194" s="3"/>
      <c r="P194" s="3"/>
      <c r="Q194" s="3"/>
      <c r="R194" s="3"/>
      <c r="S194" s="3"/>
    </row>
    <row r="195" spans="1:19" x14ac:dyDescent="0.25">
      <c r="A195" s="3"/>
      <c r="B195" s="5" t="s">
        <v>206</v>
      </c>
      <c r="C195" s="3"/>
      <c r="D195" s="3"/>
      <c r="E195" s="3"/>
      <c r="F195" s="3">
        <f>'[1]Ж2,1'!$D$9</f>
        <v>4628</v>
      </c>
      <c r="G195" s="3" t="s">
        <v>207</v>
      </c>
      <c r="H195" s="3"/>
      <c r="I195" s="3"/>
      <c r="K195" s="3"/>
      <c r="L195" s="5" t="s">
        <v>206</v>
      </c>
      <c r="M195" s="3"/>
      <c r="N195" s="3"/>
      <c r="O195" s="3"/>
      <c r="P195" s="3">
        <f>'[1]Ж2,1'!$E$9</f>
        <v>4429.8999999999996</v>
      </c>
      <c r="Q195" s="3" t="s">
        <v>207</v>
      </c>
      <c r="R195" s="3"/>
      <c r="S195" s="3"/>
    </row>
    <row r="196" spans="1:19" ht="15.75" thickBot="1" x14ac:dyDescent="0.3">
      <c r="A196" s="3"/>
      <c r="B196" s="3"/>
      <c r="C196" s="3"/>
      <c r="D196" s="4"/>
      <c r="E196" s="4"/>
      <c r="F196" s="3"/>
      <c r="G196" s="3"/>
      <c r="H196" s="3"/>
      <c r="I196" s="3"/>
      <c r="J196" s="3"/>
      <c r="K196" s="3"/>
      <c r="L196" s="3"/>
      <c r="M196" s="3"/>
      <c r="N196" s="4"/>
      <c r="O196" s="4"/>
      <c r="P196" s="3"/>
      <c r="Q196" s="3"/>
      <c r="R196" s="3"/>
      <c r="S196" s="3"/>
    </row>
    <row r="197" spans="1:19" ht="15" customHeight="1" x14ac:dyDescent="0.25">
      <c r="A197" s="175" t="s">
        <v>209</v>
      </c>
      <c r="B197" s="177" t="s">
        <v>210</v>
      </c>
      <c r="C197" s="178"/>
      <c r="D197" s="178"/>
      <c r="E197" s="178"/>
      <c r="F197" s="178"/>
      <c r="G197" s="180" t="s">
        <v>442</v>
      </c>
      <c r="H197" s="181"/>
      <c r="I197" s="175" t="s">
        <v>212</v>
      </c>
      <c r="J197" s="3"/>
      <c r="K197" s="175" t="s">
        <v>209</v>
      </c>
      <c r="L197" s="177" t="s">
        <v>210</v>
      </c>
      <c r="M197" s="178"/>
      <c r="N197" s="178"/>
      <c r="O197" s="178"/>
      <c r="P197" s="178"/>
      <c r="Q197" s="180" t="s">
        <v>442</v>
      </c>
      <c r="R197" s="181"/>
      <c r="S197" s="175" t="s">
        <v>212</v>
      </c>
    </row>
    <row r="198" spans="1:19" ht="76.5" customHeight="1" thickBot="1" x14ac:dyDescent="0.3">
      <c r="A198" s="176"/>
      <c r="B198" s="179"/>
      <c r="C198" s="179"/>
      <c r="D198" s="179"/>
      <c r="E198" s="179"/>
      <c r="F198" s="179"/>
      <c r="G198" s="182"/>
      <c r="H198" s="183"/>
      <c r="I198" s="184"/>
      <c r="J198" s="3"/>
      <c r="K198" s="176"/>
      <c r="L198" s="179"/>
      <c r="M198" s="179"/>
      <c r="N198" s="179"/>
      <c r="O198" s="179"/>
      <c r="P198" s="179"/>
      <c r="Q198" s="182"/>
      <c r="R198" s="183"/>
      <c r="S198" s="184"/>
    </row>
    <row r="199" spans="1:19" ht="15" customHeight="1" x14ac:dyDescent="0.25">
      <c r="A199" s="185" t="s">
        <v>213</v>
      </c>
      <c r="B199" s="187" t="s">
        <v>354</v>
      </c>
      <c r="C199" s="188"/>
      <c r="D199" s="188"/>
      <c r="E199" s="188"/>
      <c r="F199" s="188"/>
      <c r="G199" s="190">
        <v>61724.78</v>
      </c>
      <c r="H199" s="191"/>
      <c r="I199" s="192"/>
      <c r="J199" s="51"/>
      <c r="K199" s="185" t="s">
        <v>213</v>
      </c>
      <c r="L199" s="187" t="s">
        <v>354</v>
      </c>
      <c r="M199" s="188"/>
      <c r="N199" s="188"/>
      <c r="O199" s="188"/>
      <c r="P199" s="188"/>
      <c r="Q199" s="190">
        <v>65919.13</v>
      </c>
      <c r="R199" s="191"/>
      <c r="S199" s="192"/>
    </row>
    <row r="200" spans="1:19" ht="8.25" customHeight="1" thickBot="1" x14ac:dyDescent="0.3">
      <c r="A200" s="186"/>
      <c r="B200" s="189"/>
      <c r="C200" s="189"/>
      <c r="D200" s="189"/>
      <c r="E200" s="189"/>
      <c r="F200" s="189"/>
      <c r="G200" s="193"/>
      <c r="H200" s="194"/>
      <c r="I200" s="128"/>
      <c r="J200" s="52"/>
      <c r="K200" s="186"/>
      <c r="L200" s="189"/>
      <c r="M200" s="189"/>
      <c r="N200" s="189"/>
      <c r="O200" s="189"/>
      <c r="P200" s="189"/>
      <c r="Q200" s="193"/>
      <c r="R200" s="194"/>
      <c r="S200" s="128"/>
    </row>
    <row r="201" spans="1:19" ht="15" customHeight="1" x14ac:dyDescent="0.25">
      <c r="A201" s="6"/>
      <c r="B201" s="161" t="s">
        <v>214</v>
      </c>
      <c r="C201" s="162"/>
      <c r="D201" s="162"/>
      <c r="E201" s="162"/>
      <c r="F201" s="162"/>
      <c r="G201" s="163">
        <f>1.89*12*F195</f>
        <v>104963.04</v>
      </c>
      <c r="H201" s="164"/>
      <c r="I201" s="169" t="s">
        <v>215</v>
      </c>
      <c r="J201" s="63"/>
      <c r="K201" s="6"/>
      <c r="L201" s="161" t="s">
        <v>214</v>
      </c>
      <c r="M201" s="162"/>
      <c r="N201" s="162"/>
      <c r="O201" s="162"/>
      <c r="P201" s="162"/>
      <c r="Q201" s="163">
        <f>1.84*12*P195</f>
        <v>97812.191999999995</v>
      </c>
      <c r="R201" s="164"/>
      <c r="S201" s="169" t="s">
        <v>215</v>
      </c>
    </row>
    <row r="202" spans="1:19" ht="32.25" customHeight="1" thickBot="1" x14ac:dyDescent="0.3">
      <c r="A202" s="7"/>
      <c r="B202" s="171" t="s">
        <v>216</v>
      </c>
      <c r="C202" s="172"/>
      <c r="D202" s="172"/>
      <c r="E202" s="172"/>
      <c r="F202" s="172"/>
      <c r="G202" s="165"/>
      <c r="H202" s="166"/>
      <c r="I202" s="170"/>
      <c r="J202" s="43"/>
      <c r="K202" s="7"/>
      <c r="L202" s="171" t="s">
        <v>216</v>
      </c>
      <c r="M202" s="172"/>
      <c r="N202" s="172"/>
      <c r="O202" s="172"/>
      <c r="P202" s="172"/>
      <c r="Q202" s="165"/>
      <c r="R202" s="166"/>
      <c r="S202" s="170"/>
    </row>
    <row r="203" spans="1:19" ht="13.5" customHeight="1" thickBot="1" x14ac:dyDescent="0.3">
      <c r="A203" s="7"/>
      <c r="B203" s="173" t="s">
        <v>217</v>
      </c>
      <c r="C203" s="174"/>
      <c r="D203" s="174"/>
      <c r="E203" s="174"/>
      <c r="F203" s="174"/>
      <c r="G203" s="167"/>
      <c r="H203" s="168"/>
      <c r="I203" s="8" t="s">
        <v>218</v>
      </c>
      <c r="J203" s="42"/>
      <c r="K203" s="7"/>
      <c r="L203" s="173" t="s">
        <v>217</v>
      </c>
      <c r="M203" s="174"/>
      <c r="N203" s="174"/>
      <c r="O203" s="174"/>
      <c r="P203" s="174"/>
      <c r="Q203" s="167"/>
      <c r="R203" s="168"/>
      <c r="S203" s="8" t="s">
        <v>218</v>
      </c>
    </row>
    <row r="204" spans="1:19" ht="13.5" customHeight="1" thickBot="1" x14ac:dyDescent="0.3">
      <c r="A204" s="7"/>
      <c r="B204" s="141" t="s">
        <v>219</v>
      </c>
      <c r="C204" s="142"/>
      <c r="D204" s="142"/>
      <c r="E204" s="142"/>
      <c r="F204" s="142"/>
      <c r="G204" s="143">
        <v>0</v>
      </c>
      <c r="H204" s="144"/>
      <c r="I204" s="8" t="s">
        <v>220</v>
      </c>
      <c r="J204" s="43"/>
      <c r="K204" s="7"/>
      <c r="L204" s="141" t="s">
        <v>219</v>
      </c>
      <c r="M204" s="142"/>
      <c r="N204" s="142"/>
      <c r="O204" s="142"/>
      <c r="P204" s="142"/>
      <c r="Q204" s="143">
        <v>0</v>
      </c>
      <c r="R204" s="144"/>
      <c r="S204" s="8" t="s">
        <v>220</v>
      </c>
    </row>
    <row r="205" spans="1:19" ht="13.5" customHeight="1" thickBot="1" x14ac:dyDescent="0.3">
      <c r="A205" s="7"/>
      <c r="B205" s="141" t="s">
        <v>221</v>
      </c>
      <c r="C205" s="142"/>
      <c r="D205" s="142"/>
      <c r="E205" s="142"/>
      <c r="F205" s="142"/>
      <c r="G205" s="143">
        <f>0.473*12*F195</f>
        <v>26268.528000000002</v>
      </c>
      <c r="H205" s="144"/>
      <c r="I205" s="8" t="s">
        <v>222</v>
      </c>
      <c r="J205" s="55"/>
      <c r="K205" s="7"/>
      <c r="L205" s="141" t="s">
        <v>221</v>
      </c>
      <c r="M205" s="142"/>
      <c r="N205" s="142"/>
      <c r="O205" s="142"/>
      <c r="P205" s="142"/>
      <c r="Q205" s="143">
        <f>0.473*12*P195</f>
        <v>25144.112399999998</v>
      </c>
      <c r="R205" s="144"/>
      <c r="S205" s="8" t="s">
        <v>222</v>
      </c>
    </row>
    <row r="206" spans="1:19" ht="13.5" customHeight="1" x14ac:dyDescent="0.25">
      <c r="A206" s="9"/>
      <c r="B206" s="145" t="s">
        <v>223</v>
      </c>
      <c r="C206" s="146"/>
      <c r="D206" s="146"/>
      <c r="E206" s="146"/>
      <c r="F206" s="146"/>
      <c r="G206" s="86">
        <f>2.09*12*F195</f>
        <v>116070.23999999999</v>
      </c>
      <c r="H206" s="147"/>
      <c r="I206" s="152" t="s">
        <v>224</v>
      </c>
      <c r="J206" s="56"/>
      <c r="K206" s="9"/>
      <c r="L206" s="145" t="s">
        <v>223</v>
      </c>
      <c r="M206" s="146"/>
      <c r="N206" s="146"/>
      <c r="O206" s="146"/>
      <c r="P206" s="146"/>
      <c r="Q206" s="86">
        <f>2.09*12*P195</f>
        <v>111101.89199999998</v>
      </c>
      <c r="R206" s="147"/>
      <c r="S206" s="152" t="s">
        <v>224</v>
      </c>
    </row>
    <row r="207" spans="1:19" ht="13.5" customHeight="1" x14ac:dyDescent="0.25">
      <c r="A207" s="10"/>
      <c r="B207" s="155" t="s">
        <v>226</v>
      </c>
      <c r="C207" s="156"/>
      <c r="D207" s="156"/>
      <c r="E207" s="156"/>
      <c r="F207" s="156"/>
      <c r="G207" s="148"/>
      <c r="H207" s="149"/>
      <c r="I207" s="153"/>
      <c r="J207" s="56"/>
      <c r="K207" s="10"/>
      <c r="L207" s="155" t="s">
        <v>226</v>
      </c>
      <c r="M207" s="156"/>
      <c r="N207" s="156"/>
      <c r="O207" s="156"/>
      <c r="P207" s="156"/>
      <c r="Q207" s="148"/>
      <c r="R207" s="149"/>
      <c r="S207" s="153"/>
    </row>
    <row r="208" spans="1:19" ht="13.5" customHeight="1" thickBot="1" x14ac:dyDescent="0.3">
      <c r="A208" s="10"/>
      <c r="B208" s="157" t="s">
        <v>227</v>
      </c>
      <c r="C208" s="158"/>
      <c r="D208" s="158"/>
      <c r="E208" s="158"/>
      <c r="F208" s="158"/>
      <c r="G208" s="148"/>
      <c r="H208" s="149"/>
      <c r="I208" s="154"/>
      <c r="J208" s="56"/>
      <c r="K208" s="10"/>
      <c r="L208" s="157" t="s">
        <v>227</v>
      </c>
      <c r="M208" s="158"/>
      <c r="N208" s="158"/>
      <c r="O208" s="158"/>
      <c r="P208" s="158"/>
      <c r="Q208" s="148"/>
      <c r="R208" s="149"/>
      <c r="S208" s="154"/>
    </row>
    <row r="209" spans="1:19" ht="13.5" customHeight="1" thickBot="1" x14ac:dyDescent="0.3">
      <c r="A209" s="10"/>
      <c r="B209" s="159" t="s">
        <v>228</v>
      </c>
      <c r="C209" s="160"/>
      <c r="D209" s="160"/>
      <c r="E209" s="160"/>
      <c r="F209" s="160"/>
      <c r="G209" s="150"/>
      <c r="H209" s="151"/>
      <c r="I209" s="11" t="s">
        <v>229</v>
      </c>
      <c r="J209" s="57"/>
      <c r="K209" s="10"/>
      <c r="L209" s="159" t="s">
        <v>228</v>
      </c>
      <c r="M209" s="160"/>
      <c r="N209" s="160"/>
      <c r="O209" s="160"/>
      <c r="P209" s="160"/>
      <c r="Q209" s="150"/>
      <c r="R209" s="151"/>
      <c r="S209" s="11" t="s">
        <v>229</v>
      </c>
    </row>
    <row r="210" spans="1:19" ht="13.5" customHeight="1" x14ac:dyDescent="0.25">
      <c r="A210" s="12"/>
      <c r="B210" s="125" t="s">
        <v>230</v>
      </c>
      <c r="C210" s="126"/>
      <c r="D210" s="126"/>
      <c r="E210" s="126"/>
      <c r="F210" s="126"/>
      <c r="G210" s="86">
        <f>0.04*12*F195</f>
        <v>2221.44</v>
      </c>
      <c r="H210" s="87"/>
      <c r="I210" s="129" t="s">
        <v>220</v>
      </c>
      <c r="J210" s="43"/>
      <c r="K210" s="12"/>
      <c r="L210" s="125" t="s">
        <v>230</v>
      </c>
      <c r="M210" s="126"/>
      <c r="N210" s="126"/>
      <c r="O210" s="126"/>
      <c r="P210" s="126"/>
      <c r="Q210" s="86">
        <f>0.048*12*P195</f>
        <v>2551.6224000000002</v>
      </c>
      <c r="R210" s="87"/>
      <c r="S210" s="129" t="s">
        <v>220</v>
      </c>
    </row>
    <row r="211" spans="1:19" ht="13.5" customHeight="1" thickBot="1" x14ac:dyDescent="0.3">
      <c r="A211" s="7"/>
      <c r="B211" s="131" t="s">
        <v>231</v>
      </c>
      <c r="C211" s="132"/>
      <c r="D211" s="132"/>
      <c r="E211" s="132"/>
      <c r="F211" s="132"/>
      <c r="G211" s="127"/>
      <c r="H211" s="128"/>
      <c r="I211" s="130"/>
      <c r="J211" s="43"/>
      <c r="K211" s="7"/>
      <c r="L211" s="131" t="s">
        <v>231</v>
      </c>
      <c r="M211" s="132"/>
      <c r="N211" s="132"/>
      <c r="O211" s="132"/>
      <c r="P211" s="132"/>
      <c r="Q211" s="127"/>
      <c r="R211" s="128"/>
      <c r="S211" s="130"/>
    </row>
    <row r="212" spans="1:19" ht="15.75" customHeight="1" thickBot="1" x14ac:dyDescent="0.3">
      <c r="A212" s="13"/>
      <c r="B212" s="133" t="s">
        <v>232</v>
      </c>
      <c r="C212" s="134"/>
      <c r="D212" s="134"/>
      <c r="E212" s="134"/>
      <c r="F212" s="134"/>
      <c r="G212" s="135"/>
      <c r="H212" s="136"/>
      <c r="I212" s="14"/>
      <c r="J212" s="43"/>
      <c r="K212" s="13"/>
      <c r="L212" s="133" t="s">
        <v>232</v>
      </c>
      <c r="M212" s="134"/>
      <c r="N212" s="134"/>
      <c r="O212" s="134"/>
      <c r="P212" s="134"/>
      <c r="Q212" s="135"/>
      <c r="R212" s="136"/>
      <c r="S212" s="14"/>
    </row>
    <row r="213" spans="1:19" ht="15.75" customHeight="1" thickBot="1" x14ac:dyDescent="0.3">
      <c r="A213" s="13"/>
      <c r="B213" s="84" t="s">
        <v>233</v>
      </c>
      <c r="C213" s="85"/>
      <c r="D213" s="85"/>
      <c r="E213" s="85"/>
      <c r="F213" s="85"/>
      <c r="G213" s="86">
        <f>1.79*12*F195</f>
        <v>99409.44</v>
      </c>
      <c r="H213" s="87"/>
      <c r="I213" s="92" t="s">
        <v>587</v>
      </c>
      <c r="J213" s="58"/>
      <c r="K213" s="13"/>
      <c r="L213" s="84" t="s">
        <v>233</v>
      </c>
      <c r="M213" s="85"/>
      <c r="N213" s="85"/>
      <c r="O213" s="85"/>
      <c r="P213" s="85"/>
      <c r="Q213" s="86">
        <f>1.65*12*P195</f>
        <v>87712.019999999975</v>
      </c>
      <c r="R213" s="87"/>
      <c r="S213" s="92" t="s">
        <v>588</v>
      </c>
    </row>
    <row r="214" spans="1:19" ht="55.5" customHeight="1" x14ac:dyDescent="0.25">
      <c r="A214" s="118"/>
      <c r="B214" s="121" t="s">
        <v>226</v>
      </c>
      <c r="C214" s="122"/>
      <c r="D214" s="122"/>
      <c r="E214" s="122"/>
      <c r="F214" s="122"/>
      <c r="G214" s="88"/>
      <c r="H214" s="89"/>
      <c r="I214" s="93"/>
      <c r="J214" s="41"/>
      <c r="K214" s="118"/>
      <c r="L214" s="121" t="s">
        <v>226</v>
      </c>
      <c r="M214" s="122"/>
      <c r="N214" s="122"/>
      <c r="O214" s="122"/>
      <c r="P214" s="122"/>
      <c r="Q214" s="88"/>
      <c r="R214" s="89"/>
      <c r="S214" s="93"/>
    </row>
    <row r="215" spans="1:19" ht="58.5" customHeight="1" x14ac:dyDescent="0.25">
      <c r="A215" s="119"/>
      <c r="B215" s="121" t="s">
        <v>227</v>
      </c>
      <c r="C215" s="122"/>
      <c r="D215" s="122"/>
      <c r="E215" s="122"/>
      <c r="F215" s="122"/>
      <c r="G215" s="88"/>
      <c r="H215" s="89"/>
      <c r="I215" s="93"/>
      <c r="J215" s="41"/>
      <c r="K215" s="119"/>
      <c r="L215" s="121" t="s">
        <v>227</v>
      </c>
      <c r="M215" s="122"/>
      <c r="N215" s="122"/>
      <c r="O215" s="122"/>
      <c r="P215" s="122"/>
      <c r="Q215" s="88"/>
      <c r="R215" s="89"/>
      <c r="S215" s="93"/>
    </row>
    <row r="216" spans="1:19" ht="48.75" customHeight="1" x14ac:dyDescent="0.25">
      <c r="A216" s="119"/>
      <c r="B216" s="121" t="s">
        <v>228</v>
      </c>
      <c r="C216" s="122"/>
      <c r="D216" s="122"/>
      <c r="E216" s="122"/>
      <c r="F216" s="122"/>
      <c r="G216" s="88"/>
      <c r="H216" s="89"/>
      <c r="I216" s="93"/>
      <c r="J216" s="41"/>
      <c r="K216" s="119"/>
      <c r="L216" s="121" t="s">
        <v>228</v>
      </c>
      <c r="M216" s="122"/>
      <c r="N216" s="122"/>
      <c r="O216" s="122"/>
      <c r="P216" s="122"/>
      <c r="Q216" s="88"/>
      <c r="R216" s="89"/>
      <c r="S216" s="93"/>
    </row>
    <row r="217" spans="1:19" ht="59.25" customHeight="1" thickBot="1" x14ac:dyDescent="0.3">
      <c r="A217" s="120"/>
      <c r="B217" s="123" t="s">
        <v>234</v>
      </c>
      <c r="C217" s="124"/>
      <c r="D217" s="124"/>
      <c r="E217" s="124"/>
      <c r="F217" s="124"/>
      <c r="G217" s="90"/>
      <c r="H217" s="91"/>
      <c r="I217" s="94"/>
      <c r="J217" s="41"/>
      <c r="K217" s="120"/>
      <c r="L217" s="123" t="s">
        <v>234</v>
      </c>
      <c r="M217" s="124"/>
      <c r="N217" s="124"/>
      <c r="O217" s="124"/>
      <c r="P217" s="124"/>
      <c r="Q217" s="90"/>
      <c r="R217" s="91"/>
      <c r="S217" s="94"/>
    </row>
    <row r="218" spans="1:19" ht="1.5" customHeight="1" thickBot="1" x14ac:dyDescent="0.3">
      <c r="A218" s="15"/>
      <c r="B218" s="137" t="s">
        <v>248</v>
      </c>
      <c r="C218" s="138"/>
      <c r="D218" s="138"/>
      <c r="E218" s="138"/>
      <c r="F218" s="138"/>
      <c r="G218" s="139"/>
      <c r="H218" s="140"/>
      <c r="I218" s="16"/>
      <c r="J218" s="42"/>
      <c r="K218" s="15"/>
      <c r="L218" s="137" t="s">
        <v>248</v>
      </c>
      <c r="M218" s="138"/>
      <c r="N218" s="138"/>
      <c r="O218" s="138"/>
      <c r="P218" s="138"/>
      <c r="Q218" s="139"/>
      <c r="R218" s="140"/>
      <c r="S218" s="16"/>
    </row>
    <row r="219" spans="1:19" ht="30" hidden="1" customHeight="1" x14ac:dyDescent="0.25">
      <c r="A219" s="15"/>
      <c r="B219" s="137" t="s">
        <v>235</v>
      </c>
      <c r="C219" s="138"/>
      <c r="D219" s="138"/>
      <c r="E219" s="138"/>
      <c r="F219" s="138"/>
      <c r="G219" s="139"/>
      <c r="H219" s="140"/>
      <c r="I219" s="16"/>
      <c r="J219" s="43"/>
      <c r="K219" s="15"/>
      <c r="L219" s="137" t="s">
        <v>235</v>
      </c>
      <c r="M219" s="138"/>
      <c r="N219" s="138"/>
      <c r="O219" s="138"/>
      <c r="P219" s="138"/>
      <c r="Q219" s="139"/>
      <c r="R219" s="140"/>
      <c r="S219" s="16"/>
    </row>
    <row r="220" spans="1:19" ht="30.75" customHeight="1" thickBot="1" x14ac:dyDescent="0.3">
      <c r="A220" s="17"/>
      <c r="B220" s="78" t="s">
        <v>237</v>
      </c>
      <c r="C220" s="79"/>
      <c r="D220" s="79"/>
      <c r="E220" s="79"/>
      <c r="F220" s="79"/>
      <c r="G220" s="86">
        <v>5108</v>
      </c>
      <c r="H220" s="87"/>
      <c r="I220" s="108" t="s">
        <v>229</v>
      </c>
      <c r="J220" s="59"/>
      <c r="K220" s="17"/>
      <c r="L220" s="78" t="s">
        <v>237</v>
      </c>
      <c r="M220" s="79"/>
      <c r="N220" s="79"/>
      <c r="O220" s="79"/>
      <c r="P220" s="79"/>
      <c r="Q220" s="86">
        <v>4972</v>
      </c>
      <c r="R220" s="87"/>
      <c r="S220" s="108" t="s">
        <v>229</v>
      </c>
    </row>
    <row r="221" spans="1:19" ht="15.75" customHeight="1" thickBot="1" x14ac:dyDescent="0.3">
      <c r="A221" s="18"/>
      <c r="B221" s="110" t="s">
        <v>238</v>
      </c>
      <c r="C221" s="111"/>
      <c r="D221" s="111"/>
      <c r="E221" s="111"/>
      <c r="F221" s="111"/>
      <c r="G221" s="90"/>
      <c r="H221" s="91"/>
      <c r="I221" s="109"/>
      <c r="J221" s="59"/>
      <c r="K221" s="18"/>
      <c r="L221" s="110" t="s">
        <v>238</v>
      </c>
      <c r="M221" s="111"/>
      <c r="N221" s="111"/>
      <c r="O221" s="111"/>
      <c r="P221" s="111"/>
      <c r="Q221" s="90"/>
      <c r="R221" s="91"/>
      <c r="S221" s="109"/>
    </row>
    <row r="222" spans="1:19" ht="13.5" customHeight="1" thickBot="1" x14ac:dyDescent="0.3">
      <c r="A222" s="19"/>
      <c r="B222" s="112" t="s">
        <v>239</v>
      </c>
      <c r="C222" s="113"/>
      <c r="D222" s="113"/>
      <c r="E222" s="113"/>
      <c r="F222" s="113"/>
      <c r="G222" s="114">
        <f>SUM(G201:H221)</f>
        <v>354040.68799999997</v>
      </c>
      <c r="H222" s="115"/>
      <c r="I222" s="20"/>
      <c r="J222" s="58"/>
      <c r="K222" s="19"/>
      <c r="L222" s="112" t="s">
        <v>239</v>
      </c>
      <c r="M222" s="113"/>
      <c r="N222" s="113"/>
      <c r="O222" s="113"/>
      <c r="P222" s="113"/>
      <c r="Q222" s="114">
        <f>SUM(Q201:R221)</f>
        <v>329293.83879999991</v>
      </c>
      <c r="R222" s="115"/>
      <c r="S222" s="20"/>
    </row>
    <row r="223" spans="1:19" ht="20.25" customHeight="1" thickBot="1" x14ac:dyDescent="0.3">
      <c r="A223" s="21"/>
      <c r="B223" s="101" t="s">
        <v>240</v>
      </c>
      <c r="C223" s="102"/>
      <c r="D223" s="102"/>
      <c r="E223" s="102"/>
      <c r="F223" s="102"/>
      <c r="G223" s="116">
        <f>G222*1.2</f>
        <v>424848.82559999992</v>
      </c>
      <c r="H223" s="117"/>
      <c r="I223" s="22"/>
      <c r="J223" s="45"/>
      <c r="K223" s="21"/>
      <c r="L223" s="101" t="s">
        <v>240</v>
      </c>
      <c r="M223" s="102"/>
      <c r="N223" s="102"/>
      <c r="O223" s="102"/>
      <c r="P223" s="102"/>
      <c r="Q223" s="116">
        <f>Q222*1.2</f>
        <v>395152.60655999987</v>
      </c>
      <c r="R223" s="117"/>
      <c r="S223" s="22"/>
    </row>
    <row r="224" spans="1:19" ht="20.25" customHeight="1" thickBot="1" x14ac:dyDescent="0.3">
      <c r="A224" s="24"/>
      <c r="B224" s="96" t="s">
        <v>443</v>
      </c>
      <c r="C224" s="97"/>
      <c r="D224" s="97"/>
      <c r="E224" s="97"/>
      <c r="F224" s="97"/>
      <c r="G224" s="311">
        <v>425743.82</v>
      </c>
      <c r="H224" s="312"/>
      <c r="I224" s="313"/>
      <c r="J224" s="41"/>
      <c r="K224" s="24"/>
      <c r="L224" s="96" t="s">
        <v>443</v>
      </c>
      <c r="M224" s="97"/>
      <c r="N224" s="97"/>
      <c r="O224" s="97"/>
      <c r="P224" s="97"/>
      <c r="Q224" s="311">
        <v>399796.24</v>
      </c>
      <c r="R224" s="312"/>
      <c r="S224" s="313"/>
    </row>
    <row r="225" spans="1:19" ht="20.25" customHeight="1" thickBot="1" x14ac:dyDescent="0.3">
      <c r="A225" s="19"/>
      <c r="B225" s="101" t="s">
        <v>242</v>
      </c>
      <c r="C225" s="102"/>
      <c r="D225" s="102"/>
      <c r="E225" s="102"/>
      <c r="F225" s="102"/>
      <c r="G225" s="307">
        <v>422087.7</v>
      </c>
      <c r="H225" s="308"/>
      <c r="I225" s="309"/>
      <c r="J225" s="41"/>
      <c r="K225" s="19"/>
      <c r="L225" s="101" t="s">
        <v>242</v>
      </c>
      <c r="M225" s="102"/>
      <c r="N225" s="102"/>
      <c r="O225" s="102"/>
      <c r="P225" s="102"/>
      <c r="Q225" s="307">
        <v>410929.62</v>
      </c>
      <c r="R225" s="308"/>
      <c r="S225" s="309"/>
    </row>
    <row r="226" spans="1:19" ht="20.25" customHeight="1" thickBot="1" x14ac:dyDescent="0.3">
      <c r="A226" s="19"/>
      <c r="B226" s="106" t="s">
        <v>444</v>
      </c>
      <c r="C226" s="107"/>
      <c r="D226" s="107"/>
      <c r="E226" s="107"/>
      <c r="F226" s="107"/>
      <c r="G226" s="307">
        <v>65380.9</v>
      </c>
      <c r="H226" s="308"/>
      <c r="I226" s="309"/>
      <c r="J226" s="64"/>
      <c r="K226" s="19"/>
      <c r="L226" s="106" t="s">
        <v>444</v>
      </c>
      <c r="M226" s="107"/>
      <c r="N226" s="107"/>
      <c r="O226" s="107"/>
      <c r="P226" s="107"/>
      <c r="Q226" s="307">
        <v>54785.75</v>
      </c>
      <c r="R226" s="308"/>
      <c r="S226" s="309"/>
    </row>
    <row r="227" spans="1:19" ht="32.1" customHeight="1" x14ac:dyDescent="0.25">
      <c r="A227" s="30"/>
      <c r="B227" s="323"/>
      <c r="C227" s="323"/>
      <c r="D227" s="323"/>
      <c r="E227" s="323"/>
      <c r="F227" s="323"/>
      <c r="G227" s="323"/>
      <c r="H227" s="323"/>
      <c r="I227" s="323"/>
    </row>
    <row r="228" spans="1:19" ht="15.75" x14ac:dyDescent="0.25">
      <c r="C228" s="30"/>
    </row>
    <row r="230" spans="1:19" x14ac:dyDescent="0.25">
      <c r="A230" s="3"/>
      <c r="B230" s="3"/>
      <c r="C230" s="3"/>
      <c r="D230" s="3"/>
      <c r="E230" s="4" t="s">
        <v>204</v>
      </c>
      <c r="F230" s="3"/>
      <c r="G230" s="3"/>
      <c r="H230" s="3"/>
      <c r="I230" s="3"/>
      <c r="K230" s="3"/>
      <c r="L230" s="3"/>
      <c r="M230" s="3"/>
      <c r="N230" s="3"/>
      <c r="O230" s="4" t="s">
        <v>204</v>
      </c>
      <c r="P230" s="3"/>
      <c r="Q230" s="3"/>
      <c r="R230" s="3"/>
      <c r="S230" s="3"/>
    </row>
    <row r="231" spans="1:19" x14ac:dyDescent="0.25">
      <c r="A231" s="3" t="s">
        <v>205</v>
      </c>
      <c r="B231" s="3"/>
      <c r="C231" s="3"/>
      <c r="D231" s="3" t="s">
        <v>359</v>
      </c>
      <c r="E231" s="3"/>
      <c r="F231" s="3"/>
      <c r="G231" s="3"/>
      <c r="H231" s="3"/>
      <c r="I231" s="3"/>
      <c r="K231" s="3" t="s">
        <v>205</v>
      </c>
      <c r="L231" s="3"/>
      <c r="M231" s="3"/>
      <c r="N231" s="3" t="s">
        <v>360</v>
      </c>
      <c r="O231" s="3"/>
      <c r="P231" s="3"/>
      <c r="Q231" s="3"/>
      <c r="R231" s="3"/>
      <c r="S231" s="3"/>
    </row>
    <row r="232" spans="1:19" x14ac:dyDescent="0.25">
      <c r="A232" s="3"/>
      <c r="B232" s="5" t="s">
        <v>440</v>
      </c>
      <c r="C232" s="3"/>
      <c r="D232" s="3"/>
      <c r="E232" s="3"/>
      <c r="F232" s="3"/>
      <c r="G232" s="3"/>
      <c r="H232" s="3"/>
      <c r="I232" s="3"/>
      <c r="K232" s="3"/>
      <c r="L232" s="5" t="s">
        <v>440</v>
      </c>
      <c r="M232" s="3"/>
      <c r="N232" s="3"/>
      <c r="O232" s="3"/>
      <c r="P232" s="3"/>
      <c r="Q232" s="3"/>
      <c r="R232" s="3"/>
      <c r="S232" s="3"/>
    </row>
    <row r="233" spans="1:19" x14ac:dyDescent="0.25">
      <c r="A233" s="3"/>
      <c r="B233" s="5" t="s">
        <v>206</v>
      </c>
      <c r="C233" s="3"/>
      <c r="D233" s="3"/>
      <c r="E233" s="3"/>
      <c r="F233" s="3">
        <f>'[1]Ж2,1'!$F$9</f>
        <v>4438.5</v>
      </c>
      <c r="G233" s="3" t="s">
        <v>207</v>
      </c>
      <c r="H233" s="3"/>
      <c r="I233" s="3"/>
      <c r="K233" s="3"/>
      <c r="L233" s="5" t="s">
        <v>206</v>
      </c>
      <c r="M233" s="3"/>
      <c r="N233" s="3"/>
      <c r="O233" s="3"/>
      <c r="P233" s="3">
        <f>'[1]Ж2,1'!$G$9</f>
        <v>3118.5</v>
      </c>
      <c r="Q233" s="3" t="s">
        <v>207</v>
      </c>
      <c r="R233" s="3"/>
      <c r="S233" s="3"/>
    </row>
    <row r="234" spans="1:19" ht="15.75" thickBot="1" x14ac:dyDescent="0.3">
      <c r="A234" s="3"/>
      <c r="B234" s="3"/>
      <c r="C234" s="3"/>
      <c r="D234" s="4"/>
      <c r="E234" s="4"/>
      <c r="F234" s="3"/>
      <c r="G234" s="3"/>
      <c r="H234" s="3"/>
      <c r="I234" s="3"/>
      <c r="K234" s="3"/>
      <c r="L234" s="3"/>
      <c r="M234" s="3"/>
      <c r="N234" s="4"/>
      <c r="O234" s="4"/>
      <c r="P234" s="3"/>
      <c r="Q234" s="3"/>
      <c r="R234" s="3"/>
      <c r="S234" s="3"/>
    </row>
    <row r="235" spans="1:19" ht="15" customHeight="1" x14ac:dyDescent="0.25">
      <c r="A235" s="175" t="s">
        <v>209</v>
      </c>
      <c r="B235" s="177" t="s">
        <v>210</v>
      </c>
      <c r="C235" s="178"/>
      <c r="D235" s="178"/>
      <c r="E235" s="178"/>
      <c r="F235" s="178"/>
      <c r="G235" s="180" t="s">
        <v>442</v>
      </c>
      <c r="H235" s="181"/>
      <c r="I235" s="175" t="s">
        <v>212</v>
      </c>
      <c r="K235" s="175" t="s">
        <v>209</v>
      </c>
      <c r="L235" s="177" t="s">
        <v>210</v>
      </c>
      <c r="M235" s="178"/>
      <c r="N235" s="178"/>
      <c r="O235" s="178"/>
      <c r="P235" s="178"/>
      <c r="Q235" s="180" t="s">
        <v>442</v>
      </c>
      <c r="R235" s="181"/>
      <c r="S235" s="175" t="s">
        <v>212</v>
      </c>
    </row>
    <row r="236" spans="1:19" ht="54" customHeight="1" thickBot="1" x14ac:dyDescent="0.3">
      <c r="A236" s="176"/>
      <c r="B236" s="179"/>
      <c r="C236" s="179"/>
      <c r="D236" s="179"/>
      <c r="E236" s="179"/>
      <c r="F236" s="179"/>
      <c r="G236" s="182"/>
      <c r="H236" s="183"/>
      <c r="I236" s="184"/>
      <c r="K236" s="176"/>
      <c r="L236" s="179"/>
      <c r="M236" s="179"/>
      <c r="N236" s="179"/>
      <c r="O236" s="179"/>
      <c r="P236" s="179"/>
      <c r="Q236" s="182"/>
      <c r="R236" s="183"/>
      <c r="S236" s="184"/>
    </row>
    <row r="237" spans="1:19" ht="15" customHeight="1" x14ac:dyDescent="0.25">
      <c r="A237" s="185" t="s">
        <v>213</v>
      </c>
      <c r="B237" s="187" t="s">
        <v>354</v>
      </c>
      <c r="C237" s="188"/>
      <c r="D237" s="188"/>
      <c r="E237" s="188"/>
      <c r="F237" s="188"/>
      <c r="G237" s="190">
        <v>134250.5</v>
      </c>
      <c r="H237" s="191"/>
      <c r="I237" s="192"/>
      <c r="K237" s="185" t="s">
        <v>213</v>
      </c>
      <c r="L237" s="187" t="s">
        <v>354</v>
      </c>
      <c r="M237" s="188"/>
      <c r="N237" s="188"/>
      <c r="O237" s="188"/>
      <c r="P237" s="188"/>
      <c r="Q237" s="190">
        <v>60727.15</v>
      </c>
      <c r="R237" s="191"/>
      <c r="S237" s="192"/>
    </row>
    <row r="238" spans="1:19" ht="15.75" thickBot="1" x14ac:dyDescent="0.3">
      <c r="A238" s="186"/>
      <c r="B238" s="189"/>
      <c r="C238" s="189"/>
      <c r="D238" s="189"/>
      <c r="E238" s="189"/>
      <c r="F238" s="189"/>
      <c r="G238" s="193"/>
      <c r="H238" s="194"/>
      <c r="I238" s="128"/>
      <c r="K238" s="186"/>
      <c r="L238" s="189"/>
      <c r="M238" s="189"/>
      <c r="N238" s="189"/>
      <c r="O238" s="189"/>
      <c r="P238" s="189"/>
      <c r="Q238" s="193"/>
      <c r="R238" s="194"/>
      <c r="S238" s="128"/>
    </row>
    <row r="239" spans="1:19" ht="15" customHeight="1" x14ac:dyDescent="0.25">
      <c r="A239" s="6"/>
      <c r="B239" s="161" t="s">
        <v>214</v>
      </c>
      <c r="C239" s="162"/>
      <c r="D239" s="162"/>
      <c r="E239" s="162"/>
      <c r="F239" s="162"/>
      <c r="G239" s="163">
        <f>1.99*12*F233</f>
        <v>105991.37999999999</v>
      </c>
      <c r="H239" s="164"/>
      <c r="I239" s="169" t="s">
        <v>215</v>
      </c>
      <c r="K239" s="6"/>
      <c r="L239" s="161" t="s">
        <v>214</v>
      </c>
      <c r="M239" s="162"/>
      <c r="N239" s="162"/>
      <c r="O239" s="162"/>
      <c r="P239" s="162"/>
      <c r="Q239" s="163">
        <f>1.65*12*P233</f>
        <v>61746.299999999988</v>
      </c>
      <c r="R239" s="164"/>
      <c r="S239" s="169" t="s">
        <v>215</v>
      </c>
    </row>
    <row r="240" spans="1:19" ht="35.25" customHeight="1" thickBot="1" x14ac:dyDescent="0.3">
      <c r="A240" s="7"/>
      <c r="B240" s="171" t="s">
        <v>216</v>
      </c>
      <c r="C240" s="172"/>
      <c r="D240" s="172"/>
      <c r="E240" s="172"/>
      <c r="F240" s="172"/>
      <c r="G240" s="165"/>
      <c r="H240" s="166"/>
      <c r="I240" s="170"/>
      <c r="K240" s="7"/>
      <c r="L240" s="171" t="s">
        <v>216</v>
      </c>
      <c r="M240" s="172"/>
      <c r="N240" s="172"/>
      <c r="O240" s="172"/>
      <c r="P240" s="172"/>
      <c r="Q240" s="165"/>
      <c r="R240" s="166"/>
      <c r="S240" s="170"/>
    </row>
    <row r="241" spans="1:19" ht="15.75" customHeight="1" thickBot="1" x14ac:dyDescent="0.3">
      <c r="A241" s="7"/>
      <c r="B241" s="173" t="s">
        <v>217</v>
      </c>
      <c r="C241" s="174"/>
      <c r="D241" s="174"/>
      <c r="E241" s="174"/>
      <c r="F241" s="174"/>
      <c r="G241" s="167"/>
      <c r="H241" s="168"/>
      <c r="I241" s="8" t="s">
        <v>218</v>
      </c>
      <c r="K241" s="7"/>
      <c r="L241" s="173" t="s">
        <v>217</v>
      </c>
      <c r="M241" s="174"/>
      <c r="N241" s="174"/>
      <c r="O241" s="174"/>
      <c r="P241" s="174"/>
      <c r="Q241" s="167"/>
      <c r="R241" s="168"/>
      <c r="S241" s="8" t="s">
        <v>218</v>
      </c>
    </row>
    <row r="242" spans="1:19" ht="15.75" customHeight="1" thickBot="1" x14ac:dyDescent="0.3">
      <c r="A242" s="7"/>
      <c r="B242" s="141" t="s">
        <v>219</v>
      </c>
      <c r="C242" s="142"/>
      <c r="D242" s="142"/>
      <c r="E242" s="142"/>
      <c r="F242" s="142"/>
      <c r="G242" s="143">
        <v>0</v>
      </c>
      <c r="H242" s="144"/>
      <c r="I242" s="8" t="s">
        <v>220</v>
      </c>
      <c r="K242" s="7"/>
      <c r="L242" s="141" t="s">
        <v>219</v>
      </c>
      <c r="M242" s="142"/>
      <c r="N242" s="142"/>
      <c r="O242" s="142"/>
      <c r="P242" s="142"/>
      <c r="Q242" s="143">
        <v>0</v>
      </c>
      <c r="R242" s="144"/>
      <c r="S242" s="8" t="s">
        <v>220</v>
      </c>
    </row>
    <row r="243" spans="1:19" ht="15.75" customHeight="1" thickBot="1" x14ac:dyDescent="0.3">
      <c r="A243" s="7"/>
      <c r="B243" s="141" t="s">
        <v>221</v>
      </c>
      <c r="C243" s="142"/>
      <c r="D243" s="142"/>
      <c r="E243" s="142"/>
      <c r="F243" s="142"/>
      <c r="G243" s="143">
        <f>0.47*12*F233</f>
        <v>25033.14</v>
      </c>
      <c r="H243" s="144"/>
      <c r="I243" s="8" t="s">
        <v>222</v>
      </c>
      <c r="K243" s="7"/>
      <c r="L243" s="141" t="s">
        <v>221</v>
      </c>
      <c r="M243" s="142"/>
      <c r="N243" s="142"/>
      <c r="O243" s="142"/>
      <c r="P243" s="142"/>
      <c r="Q243" s="143">
        <f>0.4*12*P233</f>
        <v>14968.800000000003</v>
      </c>
      <c r="R243" s="144"/>
      <c r="S243" s="8" t="s">
        <v>222</v>
      </c>
    </row>
    <row r="244" spans="1:19" ht="15" customHeight="1" x14ac:dyDescent="0.25">
      <c r="A244" s="9"/>
      <c r="B244" s="145" t="s">
        <v>223</v>
      </c>
      <c r="C244" s="146"/>
      <c r="D244" s="146"/>
      <c r="E244" s="146"/>
      <c r="F244" s="146"/>
      <c r="G244" s="86">
        <f>2.09*12*F233</f>
        <v>111317.57999999999</v>
      </c>
      <c r="H244" s="147"/>
      <c r="I244" s="152" t="s">
        <v>224</v>
      </c>
      <c r="K244" s="9"/>
      <c r="L244" s="145" t="s">
        <v>223</v>
      </c>
      <c r="M244" s="146"/>
      <c r="N244" s="146"/>
      <c r="O244" s="146"/>
      <c r="P244" s="146"/>
      <c r="Q244" s="86">
        <f>1.99*12*P233</f>
        <v>74469.78</v>
      </c>
      <c r="R244" s="147"/>
      <c r="S244" s="152" t="s">
        <v>224</v>
      </c>
    </row>
    <row r="245" spans="1:19" x14ac:dyDescent="0.25">
      <c r="A245" s="10"/>
      <c r="B245" s="155" t="s">
        <v>226</v>
      </c>
      <c r="C245" s="156"/>
      <c r="D245" s="156"/>
      <c r="E245" s="156"/>
      <c r="F245" s="156"/>
      <c r="G245" s="148"/>
      <c r="H245" s="149"/>
      <c r="I245" s="153"/>
      <c r="K245" s="10"/>
      <c r="L245" s="155" t="s">
        <v>226</v>
      </c>
      <c r="M245" s="156"/>
      <c r="N245" s="156"/>
      <c r="O245" s="156"/>
      <c r="P245" s="156"/>
      <c r="Q245" s="148"/>
      <c r="R245" s="149"/>
      <c r="S245" s="153"/>
    </row>
    <row r="246" spans="1:19" ht="15.75" thickBot="1" x14ac:dyDescent="0.3">
      <c r="A246" s="10"/>
      <c r="B246" s="157" t="s">
        <v>227</v>
      </c>
      <c r="C246" s="158"/>
      <c r="D246" s="158"/>
      <c r="E246" s="158"/>
      <c r="F246" s="158"/>
      <c r="G246" s="148"/>
      <c r="H246" s="149"/>
      <c r="I246" s="154"/>
      <c r="K246" s="10"/>
      <c r="L246" s="157" t="s">
        <v>227</v>
      </c>
      <c r="M246" s="158"/>
      <c r="N246" s="158"/>
      <c r="O246" s="158"/>
      <c r="P246" s="158"/>
      <c r="Q246" s="148"/>
      <c r="R246" s="149"/>
      <c r="S246" s="154"/>
    </row>
    <row r="247" spans="1:19" ht="15.75" thickBot="1" x14ac:dyDescent="0.3">
      <c r="A247" s="10"/>
      <c r="B247" s="159" t="s">
        <v>228</v>
      </c>
      <c r="C247" s="160"/>
      <c r="D247" s="160"/>
      <c r="E247" s="160"/>
      <c r="F247" s="160"/>
      <c r="G247" s="150"/>
      <c r="H247" s="151"/>
      <c r="I247" s="11" t="s">
        <v>229</v>
      </c>
      <c r="K247" s="10"/>
      <c r="L247" s="159" t="s">
        <v>228</v>
      </c>
      <c r="M247" s="160"/>
      <c r="N247" s="160"/>
      <c r="O247" s="160"/>
      <c r="P247" s="160"/>
      <c r="Q247" s="150"/>
      <c r="R247" s="151"/>
      <c r="S247" s="11" t="s">
        <v>229</v>
      </c>
    </row>
    <row r="248" spans="1:19" ht="15" customHeight="1" x14ac:dyDescent="0.25">
      <c r="A248" s="12"/>
      <c r="B248" s="125" t="s">
        <v>230</v>
      </c>
      <c r="C248" s="126"/>
      <c r="D248" s="126"/>
      <c r="E248" s="126"/>
      <c r="F248" s="126"/>
      <c r="G248" s="86">
        <f>0.04*12*F233</f>
        <v>2130.48</v>
      </c>
      <c r="H248" s="87"/>
      <c r="I248" s="129" t="s">
        <v>220</v>
      </c>
      <c r="K248" s="12"/>
      <c r="L248" s="125" t="s">
        <v>230</v>
      </c>
      <c r="M248" s="126"/>
      <c r="N248" s="126"/>
      <c r="O248" s="126"/>
      <c r="P248" s="126"/>
      <c r="Q248" s="86">
        <f>0.04*12*P233</f>
        <v>1496.8799999999999</v>
      </c>
      <c r="R248" s="87"/>
      <c r="S248" s="129" t="s">
        <v>220</v>
      </c>
    </row>
    <row r="249" spans="1:19" ht="15.75" thickBot="1" x14ac:dyDescent="0.3">
      <c r="A249" s="7"/>
      <c r="B249" s="131" t="s">
        <v>231</v>
      </c>
      <c r="C249" s="132"/>
      <c r="D249" s="132"/>
      <c r="E249" s="132"/>
      <c r="F249" s="132"/>
      <c r="G249" s="127"/>
      <c r="H249" s="128"/>
      <c r="I249" s="130"/>
      <c r="K249" s="7"/>
      <c r="L249" s="131" t="s">
        <v>231</v>
      </c>
      <c r="M249" s="132"/>
      <c r="N249" s="132"/>
      <c r="O249" s="132"/>
      <c r="P249" s="132"/>
      <c r="Q249" s="127"/>
      <c r="R249" s="128"/>
      <c r="S249" s="130"/>
    </row>
    <row r="250" spans="1:19" ht="15.75" customHeight="1" thickBot="1" x14ac:dyDescent="0.3">
      <c r="A250" s="13"/>
      <c r="B250" s="133" t="s">
        <v>232</v>
      </c>
      <c r="C250" s="134"/>
      <c r="D250" s="134"/>
      <c r="E250" s="134"/>
      <c r="F250" s="134"/>
      <c r="G250" s="135"/>
      <c r="H250" s="136"/>
      <c r="I250" s="14"/>
      <c r="K250" s="13"/>
      <c r="L250" s="133" t="s">
        <v>232</v>
      </c>
      <c r="M250" s="134"/>
      <c r="N250" s="134"/>
      <c r="O250" s="134"/>
      <c r="P250" s="134"/>
      <c r="Q250" s="135"/>
      <c r="R250" s="136"/>
      <c r="S250" s="14"/>
    </row>
    <row r="251" spans="1:19" ht="43.5" customHeight="1" thickBot="1" x14ac:dyDescent="0.3">
      <c r="A251" s="13"/>
      <c r="B251" s="84" t="s">
        <v>233</v>
      </c>
      <c r="C251" s="85"/>
      <c r="D251" s="85"/>
      <c r="E251" s="85"/>
      <c r="F251" s="85"/>
      <c r="G251" s="86">
        <f>1.85*12*F233</f>
        <v>98534.700000000012</v>
      </c>
      <c r="H251" s="87"/>
      <c r="I251" s="92" t="s">
        <v>589</v>
      </c>
      <c r="K251" s="13"/>
      <c r="L251" s="84" t="s">
        <v>233</v>
      </c>
      <c r="M251" s="85"/>
      <c r="N251" s="85"/>
      <c r="O251" s="85"/>
      <c r="P251" s="85"/>
      <c r="Q251" s="86">
        <f>1.36*12*P233</f>
        <v>50893.919999999998</v>
      </c>
      <c r="R251" s="87"/>
      <c r="S251" s="92" t="s">
        <v>591</v>
      </c>
    </row>
    <row r="252" spans="1:19" ht="40.5" customHeight="1" x14ac:dyDescent="0.25">
      <c r="A252" s="118"/>
      <c r="B252" s="121" t="s">
        <v>226</v>
      </c>
      <c r="C252" s="122"/>
      <c r="D252" s="122"/>
      <c r="E252" s="122"/>
      <c r="F252" s="122"/>
      <c r="G252" s="88"/>
      <c r="H252" s="89"/>
      <c r="I252" s="93"/>
      <c r="K252" s="118"/>
      <c r="L252" s="121" t="s">
        <v>226</v>
      </c>
      <c r="M252" s="122"/>
      <c r="N252" s="122"/>
      <c r="O252" s="122"/>
      <c r="P252" s="122"/>
      <c r="Q252" s="88"/>
      <c r="R252" s="89"/>
      <c r="S252" s="93"/>
    </row>
    <row r="253" spans="1:19" ht="50.25" customHeight="1" x14ac:dyDescent="0.25">
      <c r="A253" s="119"/>
      <c r="B253" s="121" t="s">
        <v>227</v>
      </c>
      <c r="C253" s="122"/>
      <c r="D253" s="122"/>
      <c r="E253" s="122"/>
      <c r="F253" s="122"/>
      <c r="G253" s="88"/>
      <c r="H253" s="89"/>
      <c r="I253" s="93"/>
      <c r="K253" s="119"/>
      <c r="L253" s="121" t="s">
        <v>227</v>
      </c>
      <c r="M253" s="122"/>
      <c r="N253" s="122"/>
      <c r="O253" s="122"/>
      <c r="P253" s="122"/>
      <c r="Q253" s="88"/>
      <c r="R253" s="89"/>
      <c r="S253" s="93"/>
    </row>
    <row r="254" spans="1:19" ht="34.5" customHeight="1" x14ac:dyDescent="0.25">
      <c r="A254" s="119"/>
      <c r="B254" s="121" t="s">
        <v>228</v>
      </c>
      <c r="C254" s="122"/>
      <c r="D254" s="122"/>
      <c r="E254" s="122"/>
      <c r="F254" s="122"/>
      <c r="G254" s="88"/>
      <c r="H254" s="89"/>
      <c r="I254" s="93"/>
      <c r="K254" s="119"/>
      <c r="L254" s="121" t="s">
        <v>228</v>
      </c>
      <c r="M254" s="122"/>
      <c r="N254" s="122"/>
      <c r="O254" s="122"/>
      <c r="P254" s="122"/>
      <c r="Q254" s="88"/>
      <c r="R254" s="89"/>
      <c r="S254" s="93"/>
    </row>
    <row r="255" spans="1:19" ht="45.75" customHeight="1" thickBot="1" x14ac:dyDescent="0.3">
      <c r="A255" s="120"/>
      <c r="B255" s="123" t="s">
        <v>234</v>
      </c>
      <c r="C255" s="124"/>
      <c r="D255" s="124"/>
      <c r="E255" s="124"/>
      <c r="F255" s="124"/>
      <c r="G255" s="90"/>
      <c r="H255" s="91"/>
      <c r="I255" s="94"/>
      <c r="K255" s="120"/>
      <c r="L255" s="123" t="s">
        <v>234</v>
      </c>
      <c r="M255" s="124"/>
      <c r="N255" s="124"/>
      <c r="O255" s="124"/>
      <c r="P255" s="124"/>
      <c r="Q255" s="90"/>
      <c r="R255" s="91"/>
      <c r="S255" s="94"/>
    </row>
    <row r="256" spans="1:19" ht="15.75" hidden="1" customHeight="1" x14ac:dyDescent="0.25">
      <c r="A256" s="15"/>
      <c r="B256" s="137" t="s">
        <v>248</v>
      </c>
      <c r="C256" s="138"/>
      <c r="D256" s="138"/>
      <c r="E256" s="138"/>
      <c r="F256" s="138"/>
      <c r="G256" s="139"/>
      <c r="H256" s="140"/>
      <c r="I256" s="16"/>
      <c r="K256" s="15"/>
      <c r="L256" s="137" t="s">
        <v>248</v>
      </c>
      <c r="M256" s="138"/>
      <c r="N256" s="138"/>
      <c r="O256" s="138"/>
      <c r="P256" s="138"/>
      <c r="Q256" s="139"/>
      <c r="R256" s="140"/>
      <c r="S256" s="16"/>
    </row>
    <row r="257" spans="1:19" ht="1.5" customHeight="1" thickBot="1" x14ac:dyDescent="0.3">
      <c r="A257" s="15"/>
      <c r="B257" s="137" t="s">
        <v>235</v>
      </c>
      <c r="C257" s="138"/>
      <c r="D257" s="138"/>
      <c r="E257" s="138"/>
      <c r="F257" s="138"/>
      <c r="G257" s="139"/>
      <c r="H257" s="140"/>
      <c r="I257" s="16"/>
      <c r="K257" s="15"/>
      <c r="L257" s="137" t="s">
        <v>235</v>
      </c>
      <c r="M257" s="138"/>
      <c r="N257" s="138"/>
      <c r="O257" s="138"/>
      <c r="P257" s="138"/>
      <c r="Q257" s="139"/>
      <c r="R257" s="140"/>
      <c r="S257" s="16"/>
    </row>
    <row r="258" spans="1:19" ht="30.75" customHeight="1" thickBot="1" x14ac:dyDescent="0.3">
      <c r="A258" s="17"/>
      <c r="B258" s="78" t="s">
        <v>237</v>
      </c>
      <c r="C258" s="79"/>
      <c r="D258" s="79"/>
      <c r="E258" s="79"/>
      <c r="F258" s="79"/>
      <c r="G258" s="86">
        <v>10441</v>
      </c>
      <c r="H258" s="87"/>
      <c r="I258" s="108" t="s">
        <v>229</v>
      </c>
      <c r="K258" s="17"/>
      <c r="L258" s="78" t="s">
        <v>237</v>
      </c>
      <c r="M258" s="79"/>
      <c r="N258" s="79"/>
      <c r="O258" s="79"/>
      <c r="P258" s="79"/>
      <c r="Q258" s="86">
        <v>6997</v>
      </c>
      <c r="R258" s="87"/>
      <c r="S258" s="108" t="s">
        <v>229</v>
      </c>
    </row>
    <row r="259" spans="1:19" ht="15.75" thickBot="1" x14ac:dyDescent="0.3">
      <c r="A259" s="18"/>
      <c r="B259" s="110" t="s">
        <v>238</v>
      </c>
      <c r="C259" s="111"/>
      <c r="D259" s="111"/>
      <c r="E259" s="111"/>
      <c r="F259" s="111"/>
      <c r="G259" s="90"/>
      <c r="H259" s="91"/>
      <c r="I259" s="109"/>
      <c r="K259" s="18"/>
      <c r="L259" s="110" t="s">
        <v>238</v>
      </c>
      <c r="M259" s="111"/>
      <c r="N259" s="111"/>
      <c r="O259" s="111"/>
      <c r="P259" s="111"/>
      <c r="Q259" s="90"/>
      <c r="R259" s="91"/>
      <c r="S259" s="109"/>
    </row>
    <row r="260" spans="1:19" ht="15.75" thickBot="1" x14ac:dyDescent="0.3">
      <c r="A260" s="19"/>
      <c r="B260" s="112" t="s">
        <v>239</v>
      </c>
      <c r="C260" s="113"/>
      <c r="D260" s="113"/>
      <c r="E260" s="113"/>
      <c r="F260" s="113"/>
      <c r="G260" s="114">
        <f>SUM(G239:H259)</f>
        <v>353448.28</v>
      </c>
      <c r="H260" s="115"/>
      <c r="I260" s="20"/>
      <c r="K260" s="19"/>
      <c r="L260" s="112" t="s">
        <v>239</v>
      </c>
      <c r="M260" s="113"/>
      <c r="N260" s="113"/>
      <c r="O260" s="113"/>
      <c r="P260" s="113"/>
      <c r="Q260" s="114">
        <f>SUM(Q239:R259)</f>
        <v>210572.68</v>
      </c>
      <c r="R260" s="115"/>
      <c r="S260" s="20"/>
    </row>
    <row r="261" spans="1:19" ht="24" customHeight="1" thickBot="1" x14ac:dyDescent="0.3">
      <c r="A261" s="21"/>
      <c r="B261" s="101" t="s">
        <v>240</v>
      </c>
      <c r="C261" s="102"/>
      <c r="D261" s="102"/>
      <c r="E261" s="102"/>
      <c r="F261" s="102"/>
      <c r="G261" s="116">
        <f>G260*1.2</f>
        <v>424137.93600000005</v>
      </c>
      <c r="H261" s="117"/>
      <c r="I261" s="22"/>
      <c r="K261" s="21"/>
      <c r="L261" s="101" t="s">
        <v>240</v>
      </c>
      <c r="M261" s="102"/>
      <c r="N261" s="102"/>
      <c r="O261" s="102"/>
      <c r="P261" s="102"/>
      <c r="Q261" s="116">
        <f>Q260*1.2</f>
        <v>252687.21599999999</v>
      </c>
      <c r="R261" s="117"/>
      <c r="S261" s="22"/>
    </row>
    <row r="262" spans="1:19" ht="24" customHeight="1" thickBot="1" x14ac:dyDescent="0.3">
      <c r="A262" s="24"/>
      <c r="B262" s="96" t="s">
        <v>443</v>
      </c>
      <c r="C262" s="97"/>
      <c r="D262" s="97"/>
      <c r="E262" s="97"/>
      <c r="F262" s="97"/>
      <c r="G262" s="311">
        <v>423200.86</v>
      </c>
      <c r="H262" s="312"/>
      <c r="I262" s="313"/>
      <c r="K262" s="24"/>
      <c r="L262" s="96" t="s">
        <v>443</v>
      </c>
      <c r="M262" s="97"/>
      <c r="N262" s="97"/>
      <c r="O262" s="97"/>
      <c r="P262" s="97"/>
      <c r="Q262" s="311">
        <v>260606.81</v>
      </c>
      <c r="R262" s="312"/>
      <c r="S262" s="313"/>
    </row>
    <row r="263" spans="1:19" ht="24" customHeight="1" thickBot="1" x14ac:dyDescent="0.3">
      <c r="A263" s="19"/>
      <c r="B263" s="101" t="s">
        <v>242</v>
      </c>
      <c r="C263" s="102"/>
      <c r="D263" s="102"/>
      <c r="E263" s="102"/>
      <c r="F263" s="102"/>
      <c r="G263" s="307">
        <v>454998.23</v>
      </c>
      <c r="H263" s="308"/>
      <c r="I263" s="309"/>
      <c r="K263" s="19"/>
      <c r="L263" s="101" t="s">
        <v>242</v>
      </c>
      <c r="M263" s="102"/>
      <c r="N263" s="102"/>
      <c r="O263" s="102"/>
      <c r="P263" s="102"/>
      <c r="Q263" s="307">
        <v>258037.2</v>
      </c>
      <c r="R263" s="308"/>
      <c r="S263" s="309"/>
    </row>
    <row r="264" spans="1:19" ht="24" customHeight="1" thickBot="1" x14ac:dyDescent="0.3">
      <c r="A264" s="19"/>
      <c r="B264" s="106" t="s">
        <v>444</v>
      </c>
      <c r="C264" s="107"/>
      <c r="D264" s="107"/>
      <c r="E264" s="107"/>
      <c r="F264" s="107"/>
      <c r="G264" s="307">
        <v>102453.13</v>
      </c>
      <c r="H264" s="308"/>
      <c r="I264" s="309"/>
      <c r="K264" s="19"/>
      <c r="L264" s="106" t="s">
        <v>444</v>
      </c>
      <c r="M264" s="107"/>
      <c r="N264" s="107"/>
      <c r="O264" s="107"/>
      <c r="P264" s="107"/>
      <c r="Q264" s="307">
        <v>632296.76</v>
      </c>
      <c r="R264" s="308"/>
      <c r="S264" s="309"/>
    </row>
    <row r="265" spans="1:19" ht="48.6" customHeight="1" x14ac:dyDescent="0.25">
      <c r="A265" s="4"/>
      <c r="B265" s="195"/>
      <c r="C265" s="195"/>
      <c r="D265" s="195"/>
      <c r="E265" s="195"/>
      <c r="F265" s="195"/>
      <c r="G265" s="195"/>
      <c r="H265" s="195"/>
      <c r="I265" s="195"/>
      <c r="K265" s="4"/>
      <c r="L265" s="195" t="s">
        <v>590</v>
      </c>
      <c r="M265" s="195"/>
      <c r="N265" s="195"/>
      <c r="O265" s="195"/>
      <c r="P265" s="195"/>
      <c r="Q265" s="195"/>
      <c r="R265" s="195"/>
      <c r="S265" s="195"/>
    </row>
    <row r="266" spans="1:19" ht="14.25" customHeight="1" x14ac:dyDescent="0.25">
      <c r="B266" s="338"/>
      <c r="C266" s="338"/>
      <c r="D266" s="338"/>
      <c r="E266" s="338"/>
      <c r="F266" s="338"/>
      <c r="G266" s="338"/>
      <c r="H266" s="338"/>
      <c r="I266" s="338"/>
      <c r="O266" s="50"/>
      <c r="S266" s="5"/>
    </row>
    <row r="267" spans="1:19" x14ac:dyDescent="0.25">
      <c r="A267" s="3"/>
      <c r="I267" s="5"/>
      <c r="K267" s="3"/>
      <c r="S267" s="5"/>
    </row>
    <row r="268" spans="1:19" ht="15.75" x14ac:dyDescent="0.25">
      <c r="A268" s="3"/>
      <c r="C268" s="30"/>
      <c r="K268" s="3"/>
      <c r="M268" s="30"/>
    </row>
    <row r="269" spans="1:19" ht="15.75" x14ac:dyDescent="0.25">
      <c r="A269" s="30"/>
      <c r="C269" s="30"/>
      <c r="K269" s="30"/>
      <c r="M269" s="30"/>
    </row>
  </sheetData>
  <mergeCells count="765">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S28:S29"/>
    <mergeCell ref="B29:F29"/>
    <mergeCell ref="L29:P29"/>
    <mergeCell ref="B26:F26"/>
    <mergeCell ref="G26:H26"/>
    <mergeCell ref="L26:P26"/>
    <mergeCell ref="Q26:R26"/>
    <mergeCell ref="B27:F27"/>
    <mergeCell ref="G27:H27"/>
    <mergeCell ref="L27:P27"/>
    <mergeCell ref="Q27:R27"/>
    <mergeCell ref="B30:F30"/>
    <mergeCell ref="G30:H30"/>
    <mergeCell ref="L30:P30"/>
    <mergeCell ref="Q30:R30"/>
    <mergeCell ref="B31:F31"/>
    <mergeCell ref="G31:H31"/>
    <mergeCell ref="L31:P31"/>
    <mergeCell ref="Q31:R31"/>
    <mergeCell ref="B28:F28"/>
    <mergeCell ref="G28:H29"/>
    <mergeCell ref="I28:I29"/>
    <mergeCell ref="L28:P28"/>
    <mergeCell ref="Q28:R29"/>
    <mergeCell ref="B34:F34"/>
    <mergeCell ref="G34:I34"/>
    <mergeCell ref="L34:P34"/>
    <mergeCell ref="Q34:S34"/>
    <mergeCell ref="A35:I35"/>
    <mergeCell ref="L35:S35"/>
    <mergeCell ref="B32:F32"/>
    <mergeCell ref="G32:I32"/>
    <mergeCell ref="L32:P32"/>
    <mergeCell ref="Q32:S32"/>
    <mergeCell ref="B33:F33"/>
    <mergeCell ref="G33:I33"/>
    <mergeCell ref="L33:P33"/>
    <mergeCell ref="Q33:S33"/>
    <mergeCell ref="Q44:R45"/>
    <mergeCell ref="S44:S45"/>
    <mergeCell ref="A46:A47"/>
    <mergeCell ref="B46:F47"/>
    <mergeCell ref="G46:I47"/>
    <mergeCell ref="K46:K47"/>
    <mergeCell ref="L46:P47"/>
    <mergeCell ref="Q46:S47"/>
    <mergeCell ref="A44:A45"/>
    <mergeCell ref="B44:F45"/>
    <mergeCell ref="G44:H45"/>
    <mergeCell ref="I44:I45"/>
    <mergeCell ref="K44:K45"/>
    <mergeCell ref="L44:P45"/>
    <mergeCell ref="B48:F48"/>
    <mergeCell ref="G48:H50"/>
    <mergeCell ref="I48:I49"/>
    <mergeCell ref="L48:P48"/>
    <mergeCell ref="Q48:R50"/>
    <mergeCell ref="S48:S49"/>
    <mergeCell ref="B49:F49"/>
    <mergeCell ref="L49:P49"/>
    <mergeCell ref="B50:F50"/>
    <mergeCell ref="L50:P50"/>
    <mergeCell ref="B55:F55"/>
    <mergeCell ref="L55:P55"/>
    <mergeCell ref="B51:F51"/>
    <mergeCell ref="G51:H51"/>
    <mergeCell ref="L51:P51"/>
    <mergeCell ref="Q51:R51"/>
    <mergeCell ref="B52:F52"/>
    <mergeCell ref="G52:H52"/>
    <mergeCell ref="L52:P52"/>
    <mergeCell ref="Q52:R52"/>
    <mergeCell ref="B53:F53"/>
    <mergeCell ref="G53:H56"/>
    <mergeCell ref="I53:I55"/>
    <mergeCell ref="L53:P53"/>
    <mergeCell ref="B60:F60"/>
    <mergeCell ref="G60:H64"/>
    <mergeCell ref="I60:I64"/>
    <mergeCell ref="L60:P60"/>
    <mergeCell ref="Q53:R56"/>
    <mergeCell ref="B56:F56"/>
    <mergeCell ref="L56:P56"/>
    <mergeCell ref="Q60:R64"/>
    <mergeCell ref="S60:S64"/>
    <mergeCell ref="Q57:R58"/>
    <mergeCell ref="S57:S58"/>
    <mergeCell ref="B58:F58"/>
    <mergeCell ref="L58:P58"/>
    <mergeCell ref="B59:F59"/>
    <mergeCell ref="G59:H59"/>
    <mergeCell ref="L59:P59"/>
    <mergeCell ref="Q59:R59"/>
    <mergeCell ref="B57:F57"/>
    <mergeCell ref="G57:H58"/>
    <mergeCell ref="I57:I58"/>
    <mergeCell ref="L57:P57"/>
    <mergeCell ref="S53:S55"/>
    <mergeCell ref="B54:F54"/>
    <mergeCell ref="L54:P54"/>
    <mergeCell ref="A61:A64"/>
    <mergeCell ref="B61:F61"/>
    <mergeCell ref="K61:K64"/>
    <mergeCell ref="L61:P61"/>
    <mergeCell ref="B62:F62"/>
    <mergeCell ref="L62:P62"/>
    <mergeCell ref="B63:F63"/>
    <mergeCell ref="L63:P63"/>
    <mergeCell ref="B64:F64"/>
    <mergeCell ref="L64:P64"/>
    <mergeCell ref="S67:S68"/>
    <mergeCell ref="B68:F68"/>
    <mergeCell ref="L68:P68"/>
    <mergeCell ref="B65:F65"/>
    <mergeCell ref="G65:H65"/>
    <mergeCell ref="L65:P65"/>
    <mergeCell ref="Q65:R65"/>
    <mergeCell ref="B66:F66"/>
    <mergeCell ref="G66:H66"/>
    <mergeCell ref="L66:P66"/>
    <mergeCell ref="Q66:R66"/>
    <mergeCell ref="B69:F69"/>
    <mergeCell ref="G69:H69"/>
    <mergeCell ref="L69:P69"/>
    <mergeCell ref="Q69:R69"/>
    <mergeCell ref="B70:F70"/>
    <mergeCell ref="G70:H70"/>
    <mergeCell ref="L70:P70"/>
    <mergeCell ref="Q70:R70"/>
    <mergeCell ref="B67:F67"/>
    <mergeCell ref="G67:H68"/>
    <mergeCell ref="I67:I68"/>
    <mergeCell ref="L67:P67"/>
    <mergeCell ref="Q67:R68"/>
    <mergeCell ref="B73:F73"/>
    <mergeCell ref="G73:I73"/>
    <mergeCell ref="L73:P73"/>
    <mergeCell ref="Q73:S73"/>
    <mergeCell ref="B74:I74"/>
    <mergeCell ref="L74:S75"/>
    <mergeCell ref="B71:F71"/>
    <mergeCell ref="G71:I71"/>
    <mergeCell ref="L71:P71"/>
    <mergeCell ref="Q71:S71"/>
    <mergeCell ref="B72:F72"/>
    <mergeCell ref="G72:I72"/>
    <mergeCell ref="L72:P72"/>
    <mergeCell ref="Q72:S72"/>
    <mergeCell ref="Q82:R83"/>
    <mergeCell ref="S82:S83"/>
    <mergeCell ref="A84:A85"/>
    <mergeCell ref="B84:F85"/>
    <mergeCell ref="G84:I85"/>
    <mergeCell ref="K84:K85"/>
    <mergeCell ref="L84:P85"/>
    <mergeCell ref="Q84:S85"/>
    <mergeCell ref="A82:A83"/>
    <mergeCell ref="B82:F83"/>
    <mergeCell ref="G82:H83"/>
    <mergeCell ref="I82:I83"/>
    <mergeCell ref="K82:K83"/>
    <mergeCell ref="L82:P83"/>
    <mergeCell ref="B86:F86"/>
    <mergeCell ref="G86:H88"/>
    <mergeCell ref="I86:I87"/>
    <mergeCell ref="L86:P86"/>
    <mergeCell ref="Q86:R88"/>
    <mergeCell ref="S86:S87"/>
    <mergeCell ref="B87:F87"/>
    <mergeCell ref="L87:P87"/>
    <mergeCell ref="B88:F88"/>
    <mergeCell ref="L88:P88"/>
    <mergeCell ref="B93:F93"/>
    <mergeCell ref="L93:P93"/>
    <mergeCell ref="B89:F89"/>
    <mergeCell ref="G89:H89"/>
    <mergeCell ref="L89:P89"/>
    <mergeCell ref="Q89:R89"/>
    <mergeCell ref="B90:F90"/>
    <mergeCell ref="G90:H90"/>
    <mergeCell ref="L90:P90"/>
    <mergeCell ref="Q90:R90"/>
    <mergeCell ref="B91:F91"/>
    <mergeCell ref="G91:H94"/>
    <mergeCell ref="I91:I93"/>
    <mergeCell ref="L91:P91"/>
    <mergeCell ref="B98:F98"/>
    <mergeCell ref="G98:H102"/>
    <mergeCell ref="I98:I102"/>
    <mergeCell ref="L98:P98"/>
    <mergeCell ref="Q91:R94"/>
    <mergeCell ref="B94:F94"/>
    <mergeCell ref="L94:P94"/>
    <mergeCell ref="Q98:R102"/>
    <mergeCell ref="S98:S102"/>
    <mergeCell ref="Q95:R96"/>
    <mergeCell ref="S95:S96"/>
    <mergeCell ref="B96:F96"/>
    <mergeCell ref="L96:P96"/>
    <mergeCell ref="B97:F97"/>
    <mergeCell ref="G97:H97"/>
    <mergeCell ref="L97:P97"/>
    <mergeCell ref="Q97:R97"/>
    <mergeCell ref="B95:F95"/>
    <mergeCell ref="G95:H96"/>
    <mergeCell ref="I95:I96"/>
    <mergeCell ref="L95:P95"/>
    <mergeCell ref="S91:S93"/>
    <mergeCell ref="B92:F92"/>
    <mergeCell ref="L92:P92"/>
    <mergeCell ref="A99:A102"/>
    <mergeCell ref="B99:F99"/>
    <mergeCell ref="K99:K102"/>
    <mergeCell ref="L99:P99"/>
    <mergeCell ref="B100:F100"/>
    <mergeCell ref="L100:P100"/>
    <mergeCell ref="B101:F101"/>
    <mergeCell ref="L101:P101"/>
    <mergeCell ref="B102:F102"/>
    <mergeCell ref="L102:P102"/>
    <mergeCell ref="B105:F105"/>
    <mergeCell ref="G105:H106"/>
    <mergeCell ref="I105:I106"/>
    <mergeCell ref="L105:P105"/>
    <mergeCell ref="Q105:R106"/>
    <mergeCell ref="S105:S106"/>
    <mergeCell ref="B106:F106"/>
    <mergeCell ref="L106:P106"/>
    <mergeCell ref="B103:F103"/>
    <mergeCell ref="G103:H103"/>
    <mergeCell ref="L103:P103"/>
    <mergeCell ref="Q103:R103"/>
    <mergeCell ref="B104:F104"/>
    <mergeCell ref="G104:H104"/>
    <mergeCell ref="L104:P104"/>
    <mergeCell ref="Q104:R104"/>
    <mergeCell ref="B109:F109"/>
    <mergeCell ref="G109:I109"/>
    <mergeCell ref="L109:P109"/>
    <mergeCell ref="Q109:S109"/>
    <mergeCell ref="B110:F110"/>
    <mergeCell ref="G110:I110"/>
    <mergeCell ref="L110:P110"/>
    <mergeCell ref="Q110:S110"/>
    <mergeCell ref="B107:F107"/>
    <mergeCell ref="G107:H107"/>
    <mergeCell ref="L107:P107"/>
    <mergeCell ref="Q107:R107"/>
    <mergeCell ref="B108:F108"/>
    <mergeCell ref="G108:H108"/>
    <mergeCell ref="L108:P108"/>
    <mergeCell ref="Q108:R108"/>
    <mergeCell ref="Q120:R121"/>
    <mergeCell ref="S120:S121"/>
    <mergeCell ref="A122:A123"/>
    <mergeCell ref="B122:F123"/>
    <mergeCell ref="G122:I123"/>
    <mergeCell ref="K122:K123"/>
    <mergeCell ref="L122:P123"/>
    <mergeCell ref="Q122:S123"/>
    <mergeCell ref="B111:F111"/>
    <mergeCell ref="G111:I111"/>
    <mergeCell ref="L111:P111"/>
    <mergeCell ref="Q111:S111"/>
    <mergeCell ref="A120:A121"/>
    <mergeCell ref="B120:F121"/>
    <mergeCell ref="G120:H121"/>
    <mergeCell ref="I120:I121"/>
    <mergeCell ref="K120:K121"/>
    <mergeCell ref="L120:P121"/>
    <mergeCell ref="B124:F124"/>
    <mergeCell ref="G124:H126"/>
    <mergeCell ref="I124:I125"/>
    <mergeCell ref="L124:P124"/>
    <mergeCell ref="Q124:R126"/>
    <mergeCell ref="S124:S125"/>
    <mergeCell ref="B125:F125"/>
    <mergeCell ref="L125:P125"/>
    <mergeCell ref="B126:F126"/>
    <mergeCell ref="L126:P126"/>
    <mergeCell ref="B131:F131"/>
    <mergeCell ref="L131:P131"/>
    <mergeCell ref="B127:F127"/>
    <mergeCell ref="G127:H127"/>
    <mergeCell ref="L127:P127"/>
    <mergeCell ref="Q127:R127"/>
    <mergeCell ref="B128:F128"/>
    <mergeCell ref="G128:H128"/>
    <mergeCell ref="L128:P128"/>
    <mergeCell ref="Q128:R128"/>
    <mergeCell ref="B129:F129"/>
    <mergeCell ref="G129:H132"/>
    <mergeCell ref="I129:I131"/>
    <mergeCell ref="L129:P129"/>
    <mergeCell ref="B136:F136"/>
    <mergeCell ref="G136:H140"/>
    <mergeCell ref="I136:I140"/>
    <mergeCell ref="L136:P136"/>
    <mergeCell ref="Q129:R132"/>
    <mergeCell ref="B132:F132"/>
    <mergeCell ref="L132:P132"/>
    <mergeCell ref="Q136:R140"/>
    <mergeCell ref="S136:S140"/>
    <mergeCell ref="Q133:R134"/>
    <mergeCell ref="S133:S134"/>
    <mergeCell ref="B134:F134"/>
    <mergeCell ref="L134:P134"/>
    <mergeCell ref="B135:F135"/>
    <mergeCell ref="G135:H135"/>
    <mergeCell ref="L135:P135"/>
    <mergeCell ref="Q135:R135"/>
    <mergeCell ref="B133:F133"/>
    <mergeCell ref="G133:H134"/>
    <mergeCell ref="I133:I134"/>
    <mergeCell ref="L133:P133"/>
    <mergeCell ref="S129:S131"/>
    <mergeCell ref="B130:F130"/>
    <mergeCell ref="L130:P130"/>
    <mergeCell ref="A137:A140"/>
    <mergeCell ref="B137:F137"/>
    <mergeCell ref="K137:K140"/>
    <mergeCell ref="L137:P137"/>
    <mergeCell ref="B138:F138"/>
    <mergeCell ref="L138:P138"/>
    <mergeCell ref="B139:F139"/>
    <mergeCell ref="L139:P139"/>
    <mergeCell ref="B140:F140"/>
    <mergeCell ref="L140:P140"/>
    <mergeCell ref="S143:S144"/>
    <mergeCell ref="B144:F144"/>
    <mergeCell ref="L144:P144"/>
    <mergeCell ref="B141:F141"/>
    <mergeCell ref="G141:H141"/>
    <mergeCell ref="L141:P141"/>
    <mergeCell ref="Q141:R141"/>
    <mergeCell ref="B142:F142"/>
    <mergeCell ref="G142:H142"/>
    <mergeCell ref="L142:P142"/>
    <mergeCell ref="Q142:R142"/>
    <mergeCell ref="B145:F145"/>
    <mergeCell ref="G145:H145"/>
    <mergeCell ref="L145:P145"/>
    <mergeCell ref="Q145:R145"/>
    <mergeCell ref="B146:F146"/>
    <mergeCell ref="G146:H146"/>
    <mergeCell ref="L146:P146"/>
    <mergeCell ref="Q146:R146"/>
    <mergeCell ref="B143:F143"/>
    <mergeCell ref="G143:H144"/>
    <mergeCell ref="I143:I144"/>
    <mergeCell ref="L143:P143"/>
    <mergeCell ref="Q143:R144"/>
    <mergeCell ref="B149:F149"/>
    <mergeCell ref="G149:I149"/>
    <mergeCell ref="L149:P149"/>
    <mergeCell ref="Q149:S149"/>
    <mergeCell ref="B150:I150"/>
    <mergeCell ref="L150:S150"/>
    <mergeCell ref="B147:F147"/>
    <mergeCell ref="G147:I147"/>
    <mergeCell ref="L147:P147"/>
    <mergeCell ref="Q147:S147"/>
    <mergeCell ref="B148:F148"/>
    <mergeCell ref="G148:I148"/>
    <mergeCell ref="L148:P148"/>
    <mergeCell ref="Q148:S148"/>
    <mergeCell ref="Q159:R160"/>
    <mergeCell ref="S159:S160"/>
    <mergeCell ref="A161:A162"/>
    <mergeCell ref="B161:F162"/>
    <mergeCell ref="G161:I162"/>
    <mergeCell ref="K161:K162"/>
    <mergeCell ref="L161:P162"/>
    <mergeCell ref="Q161:S162"/>
    <mergeCell ref="A159:A160"/>
    <mergeCell ref="B159:F160"/>
    <mergeCell ref="G159:H160"/>
    <mergeCell ref="I159:I160"/>
    <mergeCell ref="K159:K160"/>
    <mergeCell ref="L159:P160"/>
    <mergeCell ref="B163:F163"/>
    <mergeCell ref="G163:H165"/>
    <mergeCell ref="I163:I164"/>
    <mergeCell ref="L163:P163"/>
    <mergeCell ref="Q163:R165"/>
    <mergeCell ref="S163:S164"/>
    <mergeCell ref="B164:F164"/>
    <mergeCell ref="L164:P164"/>
    <mergeCell ref="B165:F165"/>
    <mergeCell ref="L165:P165"/>
    <mergeCell ref="B170:F170"/>
    <mergeCell ref="L170:P170"/>
    <mergeCell ref="B166:F166"/>
    <mergeCell ref="G166:H166"/>
    <mergeCell ref="L166:P166"/>
    <mergeCell ref="Q166:R166"/>
    <mergeCell ref="B167:F167"/>
    <mergeCell ref="G167:H167"/>
    <mergeCell ref="L167:P167"/>
    <mergeCell ref="Q167:R167"/>
    <mergeCell ref="B168:F168"/>
    <mergeCell ref="G168:H171"/>
    <mergeCell ref="I168:I170"/>
    <mergeCell ref="L168:P168"/>
    <mergeCell ref="B175:F175"/>
    <mergeCell ref="G175:H179"/>
    <mergeCell ref="I175:I179"/>
    <mergeCell ref="L175:P175"/>
    <mergeCell ref="Q168:R171"/>
    <mergeCell ref="B171:F171"/>
    <mergeCell ref="L171:P171"/>
    <mergeCell ref="Q175:R179"/>
    <mergeCell ref="S175:S179"/>
    <mergeCell ref="Q172:R173"/>
    <mergeCell ref="S172:S173"/>
    <mergeCell ref="B173:F173"/>
    <mergeCell ref="L173:P173"/>
    <mergeCell ref="B174:F174"/>
    <mergeCell ref="G174:H174"/>
    <mergeCell ref="L174:P174"/>
    <mergeCell ref="Q174:R174"/>
    <mergeCell ref="B172:F172"/>
    <mergeCell ref="G172:H173"/>
    <mergeCell ref="I172:I173"/>
    <mergeCell ref="L172:P172"/>
    <mergeCell ref="S168:S170"/>
    <mergeCell ref="B169:F169"/>
    <mergeCell ref="L169:P169"/>
    <mergeCell ref="A176:A179"/>
    <mergeCell ref="B176:F176"/>
    <mergeCell ref="K176:K179"/>
    <mergeCell ref="L176:P176"/>
    <mergeCell ref="B177:F177"/>
    <mergeCell ref="L177:P177"/>
    <mergeCell ref="B178:F178"/>
    <mergeCell ref="L178:P178"/>
    <mergeCell ref="B179:F179"/>
    <mergeCell ref="L179:P179"/>
    <mergeCell ref="B182:F182"/>
    <mergeCell ref="G182:H183"/>
    <mergeCell ref="I182:I183"/>
    <mergeCell ref="L182:P182"/>
    <mergeCell ref="Q182:R183"/>
    <mergeCell ref="S182:S183"/>
    <mergeCell ref="B183:F183"/>
    <mergeCell ref="L183:P183"/>
    <mergeCell ref="B180:F180"/>
    <mergeCell ref="G180:H180"/>
    <mergeCell ref="L180:P180"/>
    <mergeCell ref="Q180:R180"/>
    <mergeCell ref="B181:F181"/>
    <mergeCell ref="G181:H181"/>
    <mergeCell ref="L181:P181"/>
    <mergeCell ref="Q181:R181"/>
    <mergeCell ref="B186:F186"/>
    <mergeCell ref="G186:I186"/>
    <mergeCell ref="L186:P186"/>
    <mergeCell ref="Q186:S186"/>
    <mergeCell ref="B187:F187"/>
    <mergeCell ref="G187:I187"/>
    <mergeCell ref="L187:P187"/>
    <mergeCell ref="Q187:S187"/>
    <mergeCell ref="B184:F184"/>
    <mergeCell ref="G184:H184"/>
    <mergeCell ref="L184:P184"/>
    <mergeCell ref="Q184:R184"/>
    <mergeCell ref="B185:F185"/>
    <mergeCell ref="G185:H185"/>
    <mergeCell ref="L185:P185"/>
    <mergeCell ref="Q185:R185"/>
    <mergeCell ref="Q197:R198"/>
    <mergeCell ref="S197:S198"/>
    <mergeCell ref="A199:A200"/>
    <mergeCell ref="B199:F200"/>
    <mergeCell ref="G199:I200"/>
    <mergeCell ref="K199:K200"/>
    <mergeCell ref="L199:P200"/>
    <mergeCell ref="Q199:S200"/>
    <mergeCell ref="B188:F188"/>
    <mergeCell ref="G188:I188"/>
    <mergeCell ref="L188:P188"/>
    <mergeCell ref="Q188:S188"/>
    <mergeCell ref="A197:A198"/>
    <mergeCell ref="B197:F198"/>
    <mergeCell ref="G197:H198"/>
    <mergeCell ref="I197:I198"/>
    <mergeCell ref="K197:K198"/>
    <mergeCell ref="L197:P198"/>
    <mergeCell ref="B201:F201"/>
    <mergeCell ref="G201:H203"/>
    <mergeCell ref="I201:I202"/>
    <mergeCell ref="L201:P201"/>
    <mergeCell ref="Q201:R203"/>
    <mergeCell ref="S201:S202"/>
    <mergeCell ref="B202:F202"/>
    <mergeCell ref="L202:P202"/>
    <mergeCell ref="B203:F203"/>
    <mergeCell ref="L203:P203"/>
    <mergeCell ref="B208:F208"/>
    <mergeCell ref="L208:P208"/>
    <mergeCell ref="B204:F204"/>
    <mergeCell ref="G204:H204"/>
    <mergeCell ref="L204:P204"/>
    <mergeCell ref="Q204:R204"/>
    <mergeCell ref="B205:F205"/>
    <mergeCell ref="G205:H205"/>
    <mergeCell ref="L205:P205"/>
    <mergeCell ref="Q205:R205"/>
    <mergeCell ref="B206:F206"/>
    <mergeCell ref="G206:H209"/>
    <mergeCell ref="I206:I208"/>
    <mergeCell ref="L206:P206"/>
    <mergeCell ref="B213:F213"/>
    <mergeCell ref="G213:H217"/>
    <mergeCell ref="I213:I217"/>
    <mergeCell ref="L213:P213"/>
    <mergeCell ref="Q206:R209"/>
    <mergeCell ref="B209:F209"/>
    <mergeCell ref="L209:P209"/>
    <mergeCell ref="Q213:R217"/>
    <mergeCell ref="S213:S217"/>
    <mergeCell ref="Q210:R211"/>
    <mergeCell ref="S210:S211"/>
    <mergeCell ref="B211:F211"/>
    <mergeCell ref="L211:P211"/>
    <mergeCell ref="B212:F212"/>
    <mergeCell ref="G212:H212"/>
    <mergeCell ref="L212:P212"/>
    <mergeCell ref="Q212:R212"/>
    <mergeCell ref="B210:F210"/>
    <mergeCell ref="G210:H211"/>
    <mergeCell ref="I210:I211"/>
    <mergeCell ref="L210:P210"/>
    <mergeCell ref="S206:S208"/>
    <mergeCell ref="B207:F207"/>
    <mergeCell ref="L207:P207"/>
    <mergeCell ref="A214:A217"/>
    <mergeCell ref="B214:F214"/>
    <mergeCell ref="K214:K217"/>
    <mergeCell ref="L214:P214"/>
    <mergeCell ref="B215:F215"/>
    <mergeCell ref="L215:P215"/>
    <mergeCell ref="B216:F216"/>
    <mergeCell ref="L216:P216"/>
    <mergeCell ref="B217:F217"/>
    <mergeCell ref="L217:P217"/>
    <mergeCell ref="B220:F220"/>
    <mergeCell ref="G220:H221"/>
    <mergeCell ref="I220:I221"/>
    <mergeCell ref="L220:P220"/>
    <mergeCell ref="Q220:R221"/>
    <mergeCell ref="S220:S221"/>
    <mergeCell ref="B221:F221"/>
    <mergeCell ref="L221:P221"/>
    <mergeCell ref="B218:F218"/>
    <mergeCell ref="G218:H218"/>
    <mergeCell ref="L218:P218"/>
    <mergeCell ref="Q218:R218"/>
    <mergeCell ref="B219:F219"/>
    <mergeCell ref="G219:H219"/>
    <mergeCell ref="L219:P219"/>
    <mergeCell ref="Q219:R219"/>
    <mergeCell ref="B224:F224"/>
    <mergeCell ref="G224:I224"/>
    <mergeCell ref="L224:P224"/>
    <mergeCell ref="Q224:S224"/>
    <mergeCell ref="B225:F225"/>
    <mergeCell ref="G225:I225"/>
    <mergeCell ref="L225:P225"/>
    <mergeCell ref="Q225:S225"/>
    <mergeCell ref="B222:F222"/>
    <mergeCell ref="G222:H222"/>
    <mergeCell ref="L222:P222"/>
    <mergeCell ref="Q222:R222"/>
    <mergeCell ref="B223:F223"/>
    <mergeCell ref="G223:H223"/>
    <mergeCell ref="L223:P223"/>
    <mergeCell ref="Q223:R223"/>
    <mergeCell ref="B226:F226"/>
    <mergeCell ref="G226:I226"/>
    <mergeCell ref="L226:P226"/>
    <mergeCell ref="Q226:S226"/>
    <mergeCell ref="B227:I227"/>
    <mergeCell ref="A235:A236"/>
    <mergeCell ref="B235:F236"/>
    <mergeCell ref="G235:H236"/>
    <mergeCell ref="I235:I236"/>
    <mergeCell ref="K235:K236"/>
    <mergeCell ref="L235:P236"/>
    <mergeCell ref="Q235:R236"/>
    <mergeCell ref="S235:S236"/>
    <mergeCell ref="A237:A238"/>
    <mergeCell ref="B237:F238"/>
    <mergeCell ref="G237:I238"/>
    <mergeCell ref="K237:K238"/>
    <mergeCell ref="L237:P238"/>
    <mergeCell ref="Q237:S238"/>
    <mergeCell ref="B239:F239"/>
    <mergeCell ref="G239:H241"/>
    <mergeCell ref="I239:I240"/>
    <mergeCell ref="L239:P239"/>
    <mergeCell ref="Q239:R241"/>
    <mergeCell ref="S239:S240"/>
    <mergeCell ref="B240:F240"/>
    <mergeCell ref="L240:P240"/>
    <mergeCell ref="B241:F241"/>
    <mergeCell ref="L241:P241"/>
    <mergeCell ref="B246:F246"/>
    <mergeCell ref="L246:P246"/>
    <mergeCell ref="B242:F242"/>
    <mergeCell ref="G242:H242"/>
    <mergeCell ref="L242:P242"/>
    <mergeCell ref="Q242:R242"/>
    <mergeCell ref="B243:F243"/>
    <mergeCell ref="G243:H243"/>
    <mergeCell ref="L243:P243"/>
    <mergeCell ref="Q243:R243"/>
    <mergeCell ref="B244:F244"/>
    <mergeCell ref="G244:H247"/>
    <mergeCell ref="I244:I246"/>
    <mergeCell ref="L244:P244"/>
    <mergeCell ref="B251:F251"/>
    <mergeCell ref="G251:H255"/>
    <mergeCell ref="I251:I255"/>
    <mergeCell ref="L251:P251"/>
    <mergeCell ref="Q244:R247"/>
    <mergeCell ref="B247:F247"/>
    <mergeCell ref="L247:P247"/>
    <mergeCell ref="Q251:R255"/>
    <mergeCell ref="S251:S255"/>
    <mergeCell ref="Q248:R249"/>
    <mergeCell ref="S248:S249"/>
    <mergeCell ref="B249:F249"/>
    <mergeCell ref="L249:P249"/>
    <mergeCell ref="B250:F250"/>
    <mergeCell ref="G250:H250"/>
    <mergeCell ref="L250:P250"/>
    <mergeCell ref="Q250:R250"/>
    <mergeCell ref="B248:F248"/>
    <mergeCell ref="G248:H249"/>
    <mergeCell ref="I248:I249"/>
    <mergeCell ref="L248:P248"/>
    <mergeCell ref="S244:S246"/>
    <mergeCell ref="B245:F245"/>
    <mergeCell ref="L245:P245"/>
    <mergeCell ref="A252:A255"/>
    <mergeCell ref="B252:F252"/>
    <mergeCell ref="K252:K255"/>
    <mergeCell ref="L252:P252"/>
    <mergeCell ref="B253:F253"/>
    <mergeCell ref="L253:P253"/>
    <mergeCell ref="B254:F254"/>
    <mergeCell ref="L254:P254"/>
    <mergeCell ref="B255:F255"/>
    <mergeCell ref="L255:P255"/>
    <mergeCell ref="S258:S259"/>
    <mergeCell ref="B259:F259"/>
    <mergeCell ref="L259:P259"/>
    <mergeCell ref="B256:F256"/>
    <mergeCell ref="G256:H256"/>
    <mergeCell ref="L256:P256"/>
    <mergeCell ref="Q256:R256"/>
    <mergeCell ref="B257:F257"/>
    <mergeCell ref="G257:H257"/>
    <mergeCell ref="L257:P257"/>
    <mergeCell ref="Q257:R257"/>
    <mergeCell ref="B260:F260"/>
    <mergeCell ref="G260:H260"/>
    <mergeCell ref="L260:P260"/>
    <mergeCell ref="Q260:R260"/>
    <mergeCell ref="B261:F261"/>
    <mergeCell ref="G261:H261"/>
    <mergeCell ref="L261:P261"/>
    <mergeCell ref="Q261:R261"/>
    <mergeCell ref="B258:F258"/>
    <mergeCell ref="G258:H259"/>
    <mergeCell ref="I258:I259"/>
    <mergeCell ref="L258:P258"/>
    <mergeCell ref="Q258:R259"/>
    <mergeCell ref="B264:F264"/>
    <mergeCell ref="G264:I264"/>
    <mergeCell ref="L264:P264"/>
    <mergeCell ref="Q264:S264"/>
    <mergeCell ref="B265:I266"/>
    <mergeCell ref="B262:F262"/>
    <mergeCell ref="G262:I262"/>
    <mergeCell ref="L262:P262"/>
    <mergeCell ref="Q262:S262"/>
    <mergeCell ref="B263:F263"/>
    <mergeCell ref="G263:I263"/>
    <mergeCell ref="L263:P263"/>
    <mergeCell ref="Q263:S263"/>
    <mergeCell ref="L265:S265"/>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S269"/>
  <sheetViews>
    <sheetView topLeftCell="E249" zoomScale="85" zoomScaleNormal="85" workbookViewId="0">
      <selection activeCell="Q254" sqref="Q254:R254"/>
    </sheetView>
  </sheetViews>
  <sheetFormatPr defaultColWidth="9.140625" defaultRowHeight="15" x14ac:dyDescent="0.25"/>
  <cols>
    <col min="1" max="1" width="3.42578125" customWidth="1"/>
    <col min="7" max="7" width="10" customWidth="1"/>
    <col min="9" max="9" width="51.7109375" customWidth="1"/>
    <col min="10" max="10" width="0.42578125" customWidth="1"/>
    <col min="11" max="11" width="4.42578125" customWidth="1"/>
    <col min="17" max="17" width="10.28515625" customWidth="1"/>
    <col min="19" max="19" width="53" customWidth="1"/>
    <col min="257" max="257" width="3.42578125" customWidth="1"/>
    <col min="263" max="263" width="10" customWidth="1"/>
    <col min="265" max="265" width="51.7109375" customWidth="1"/>
    <col min="266" max="266" width="0.42578125" customWidth="1"/>
    <col min="267" max="267" width="4.42578125" customWidth="1"/>
    <col min="273" max="273" width="10.28515625" customWidth="1"/>
    <col min="275" max="275" width="53" customWidth="1"/>
    <col min="513" max="513" width="3.42578125" customWidth="1"/>
    <col min="519" max="519" width="10" customWidth="1"/>
    <col min="521" max="521" width="51.7109375" customWidth="1"/>
    <col min="522" max="522" width="0.42578125" customWidth="1"/>
    <col min="523" max="523" width="4.42578125" customWidth="1"/>
    <col min="529" max="529" width="10.28515625" customWidth="1"/>
    <col min="531" max="531" width="53" customWidth="1"/>
    <col min="769" max="769" width="3.42578125" customWidth="1"/>
    <col min="775" max="775" width="10" customWidth="1"/>
    <col min="777" max="777" width="51.7109375" customWidth="1"/>
    <col min="778" max="778" width="0.42578125" customWidth="1"/>
    <col min="779" max="779" width="4.42578125" customWidth="1"/>
    <col min="785" max="785" width="10.28515625" customWidth="1"/>
    <col min="787" max="787" width="53" customWidth="1"/>
    <col min="1025" max="1025" width="3.42578125" customWidth="1"/>
    <col min="1031" max="1031" width="10" customWidth="1"/>
    <col min="1033" max="1033" width="51.7109375" customWidth="1"/>
    <col min="1034" max="1034" width="0.42578125" customWidth="1"/>
    <col min="1035" max="1035" width="4.42578125" customWidth="1"/>
    <col min="1041" max="1041" width="10.28515625" customWidth="1"/>
    <col min="1043" max="1043" width="53" customWidth="1"/>
    <col min="1281" max="1281" width="3.42578125" customWidth="1"/>
    <col min="1287" max="1287" width="10" customWidth="1"/>
    <col min="1289" max="1289" width="51.7109375" customWidth="1"/>
    <col min="1290" max="1290" width="0.42578125" customWidth="1"/>
    <col min="1291" max="1291" width="4.42578125" customWidth="1"/>
    <col min="1297" max="1297" width="10.28515625" customWidth="1"/>
    <col min="1299" max="1299" width="53" customWidth="1"/>
    <col min="1537" max="1537" width="3.42578125" customWidth="1"/>
    <col min="1543" max="1543" width="10" customWidth="1"/>
    <col min="1545" max="1545" width="51.7109375" customWidth="1"/>
    <col min="1546" max="1546" width="0.42578125" customWidth="1"/>
    <col min="1547" max="1547" width="4.42578125" customWidth="1"/>
    <col min="1553" max="1553" width="10.28515625" customWidth="1"/>
    <col min="1555" max="1555" width="53" customWidth="1"/>
    <col min="1793" max="1793" width="3.42578125" customWidth="1"/>
    <col min="1799" max="1799" width="10" customWidth="1"/>
    <col min="1801" max="1801" width="51.7109375" customWidth="1"/>
    <col min="1802" max="1802" width="0.42578125" customWidth="1"/>
    <col min="1803" max="1803" width="4.42578125" customWidth="1"/>
    <col min="1809" max="1809" width="10.28515625" customWidth="1"/>
    <col min="1811" max="1811" width="53" customWidth="1"/>
    <col min="2049" max="2049" width="3.42578125" customWidth="1"/>
    <col min="2055" max="2055" width="10" customWidth="1"/>
    <col min="2057" max="2057" width="51.7109375" customWidth="1"/>
    <col min="2058" max="2058" width="0.42578125" customWidth="1"/>
    <col min="2059" max="2059" width="4.42578125" customWidth="1"/>
    <col min="2065" max="2065" width="10.28515625" customWidth="1"/>
    <col min="2067" max="2067" width="53" customWidth="1"/>
    <col min="2305" max="2305" width="3.42578125" customWidth="1"/>
    <col min="2311" max="2311" width="10" customWidth="1"/>
    <col min="2313" max="2313" width="51.7109375" customWidth="1"/>
    <col min="2314" max="2314" width="0.42578125" customWidth="1"/>
    <col min="2315" max="2315" width="4.42578125" customWidth="1"/>
    <col min="2321" max="2321" width="10.28515625" customWidth="1"/>
    <col min="2323" max="2323" width="53" customWidth="1"/>
    <col min="2561" max="2561" width="3.42578125" customWidth="1"/>
    <col min="2567" max="2567" width="10" customWidth="1"/>
    <col min="2569" max="2569" width="51.7109375" customWidth="1"/>
    <col min="2570" max="2570" width="0.42578125" customWidth="1"/>
    <col min="2571" max="2571" width="4.42578125" customWidth="1"/>
    <col min="2577" max="2577" width="10.28515625" customWidth="1"/>
    <col min="2579" max="2579" width="53" customWidth="1"/>
    <col min="2817" max="2817" width="3.42578125" customWidth="1"/>
    <col min="2823" max="2823" width="10" customWidth="1"/>
    <col min="2825" max="2825" width="51.7109375" customWidth="1"/>
    <col min="2826" max="2826" width="0.42578125" customWidth="1"/>
    <col min="2827" max="2827" width="4.42578125" customWidth="1"/>
    <col min="2833" max="2833" width="10.28515625" customWidth="1"/>
    <col min="2835" max="2835" width="53" customWidth="1"/>
    <col min="3073" max="3073" width="3.42578125" customWidth="1"/>
    <col min="3079" max="3079" width="10" customWidth="1"/>
    <col min="3081" max="3081" width="51.7109375" customWidth="1"/>
    <col min="3082" max="3082" width="0.42578125" customWidth="1"/>
    <col min="3083" max="3083" width="4.42578125" customWidth="1"/>
    <col min="3089" max="3089" width="10.28515625" customWidth="1"/>
    <col min="3091" max="3091" width="53" customWidth="1"/>
    <col min="3329" max="3329" width="3.42578125" customWidth="1"/>
    <col min="3335" max="3335" width="10" customWidth="1"/>
    <col min="3337" max="3337" width="51.7109375" customWidth="1"/>
    <col min="3338" max="3338" width="0.42578125" customWidth="1"/>
    <col min="3339" max="3339" width="4.42578125" customWidth="1"/>
    <col min="3345" max="3345" width="10.28515625" customWidth="1"/>
    <col min="3347" max="3347" width="53" customWidth="1"/>
    <col min="3585" max="3585" width="3.42578125" customWidth="1"/>
    <col min="3591" max="3591" width="10" customWidth="1"/>
    <col min="3593" max="3593" width="51.7109375" customWidth="1"/>
    <col min="3594" max="3594" width="0.42578125" customWidth="1"/>
    <col min="3595" max="3595" width="4.42578125" customWidth="1"/>
    <col min="3601" max="3601" width="10.28515625" customWidth="1"/>
    <col min="3603" max="3603" width="53" customWidth="1"/>
    <col min="3841" max="3841" width="3.42578125" customWidth="1"/>
    <col min="3847" max="3847" width="10" customWidth="1"/>
    <col min="3849" max="3849" width="51.7109375" customWidth="1"/>
    <col min="3850" max="3850" width="0.42578125" customWidth="1"/>
    <col min="3851" max="3851" width="4.42578125" customWidth="1"/>
    <col min="3857" max="3857" width="10.28515625" customWidth="1"/>
    <col min="3859" max="3859" width="53" customWidth="1"/>
    <col min="4097" max="4097" width="3.42578125" customWidth="1"/>
    <col min="4103" max="4103" width="10" customWidth="1"/>
    <col min="4105" max="4105" width="51.7109375" customWidth="1"/>
    <col min="4106" max="4106" width="0.42578125" customWidth="1"/>
    <col min="4107" max="4107" width="4.42578125" customWidth="1"/>
    <col min="4113" max="4113" width="10.28515625" customWidth="1"/>
    <col min="4115" max="4115" width="53" customWidth="1"/>
    <col min="4353" max="4353" width="3.42578125" customWidth="1"/>
    <col min="4359" max="4359" width="10" customWidth="1"/>
    <col min="4361" max="4361" width="51.7109375" customWidth="1"/>
    <col min="4362" max="4362" width="0.42578125" customWidth="1"/>
    <col min="4363" max="4363" width="4.42578125" customWidth="1"/>
    <col min="4369" max="4369" width="10.28515625" customWidth="1"/>
    <col min="4371" max="4371" width="53" customWidth="1"/>
    <col min="4609" max="4609" width="3.42578125" customWidth="1"/>
    <col min="4615" max="4615" width="10" customWidth="1"/>
    <col min="4617" max="4617" width="51.7109375" customWidth="1"/>
    <col min="4618" max="4618" width="0.42578125" customWidth="1"/>
    <col min="4619" max="4619" width="4.42578125" customWidth="1"/>
    <col min="4625" max="4625" width="10.28515625" customWidth="1"/>
    <col min="4627" max="4627" width="53" customWidth="1"/>
    <col min="4865" max="4865" width="3.42578125" customWidth="1"/>
    <col min="4871" max="4871" width="10" customWidth="1"/>
    <col min="4873" max="4873" width="51.7109375" customWidth="1"/>
    <col min="4874" max="4874" width="0.42578125" customWidth="1"/>
    <col min="4875" max="4875" width="4.42578125" customWidth="1"/>
    <col min="4881" max="4881" width="10.28515625" customWidth="1"/>
    <col min="4883" max="4883" width="53" customWidth="1"/>
    <col min="5121" max="5121" width="3.42578125" customWidth="1"/>
    <col min="5127" max="5127" width="10" customWidth="1"/>
    <col min="5129" max="5129" width="51.7109375" customWidth="1"/>
    <col min="5130" max="5130" width="0.42578125" customWidth="1"/>
    <col min="5131" max="5131" width="4.42578125" customWidth="1"/>
    <col min="5137" max="5137" width="10.28515625" customWidth="1"/>
    <col min="5139" max="5139" width="53" customWidth="1"/>
    <col min="5377" max="5377" width="3.42578125" customWidth="1"/>
    <col min="5383" max="5383" width="10" customWidth="1"/>
    <col min="5385" max="5385" width="51.7109375" customWidth="1"/>
    <col min="5386" max="5386" width="0.42578125" customWidth="1"/>
    <col min="5387" max="5387" width="4.42578125" customWidth="1"/>
    <col min="5393" max="5393" width="10.28515625" customWidth="1"/>
    <col min="5395" max="5395" width="53" customWidth="1"/>
    <col min="5633" max="5633" width="3.42578125" customWidth="1"/>
    <col min="5639" max="5639" width="10" customWidth="1"/>
    <col min="5641" max="5641" width="51.7109375" customWidth="1"/>
    <col min="5642" max="5642" width="0.42578125" customWidth="1"/>
    <col min="5643" max="5643" width="4.42578125" customWidth="1"/>
    <col min="5649" max="5649" width="10.28515625" customWidth="1"/>
    <col min="5651" max="5651" width="53" customWidth="1"/>
    <col min="5889" max="5889" width="3.42578125" customWidth="1"/>
    <col min="5895" max="5895" width="10" customWidth="1"/>
    <col min="5897" max="5897" width="51.7109375" customWidth="1"/>
    <col min="5898" max="5898" width="0.42578125" customWidth="1"/>
    <col min="5899" max="5899" width="4.42578125" customWidth="1"/>
    <col min="5905" max="5905" width="10.28515625" customWidth="1"/>
    <col min="5907" max="5907" width="53" customWidth="1"/>
    <col min="6145" max="6145" width="3.42578125" customWidth="1"/>
    <col min="6151" max="6151" width="10" customWidth="1"/>
    <col min="6153" max="6153" width="51.7109375" customWidth="1"/>
    <col min="6154" max="6154" width="0.42578125" customWidth="1"/>
    <col min="6155" max="6155" width="4.42578125" customWidth="1"/>
    <col min="6161" max="6161" width="10.28515625" customWidth="1"/>
    <col min="6163" max="6163" width="53" customWidth="1"/>
    <col min="6401" max="6401" width="3.42578125" customWidth="1"/>
    <col min="6407" max="6407" width="10" customWidth="1"/>
    <col min="6409" max="6409" width="51.7109375" customWidth="1"/>
    <col min="6410" max="6410" width="0.42578125" customWidth="1"/>
    <col min="6411" max="6411" width="4.42578125" customWidth="1"/>
    <col min="6417" max="6417" width="10.28515625" customWidth="1"/>
    <col min="6419" max="6419" width="53" customWidth="1"/>
    <col min="6657" max="6657" width="3.42578125" customWidth="1"/>
    <col min="6663" max="6663" width="10" customWidth="1"/>
    <col min="6665" max="6665" width="51.7109375" customWidth="1"/>
    <col min="6666" max="6666" width="0.42578125" customWidth="1"/>
    <col min="6667" max="6667" width="4.42578125" customWidth="1"/>
    <col min="6673" max="6673" width="10.28515625" customWidth="1"/>
    <col min="6675" max="6675" width="53" customWidth="1"/>
    <col min="6913" max="6913" width="3.42578125" customWidth="1"/>
    <col min="6919" max="6919" width="10" customWidth="1"/>
    <col min="6921" max="6921" width="51.7109375" customWidth="1"/>
    <col min="6922" max="6922" width="0.42578125" customWidth="1"/>
    <col min="6923" max="6923" width="4.42578125" customWidth="1"/>
    <col min="6929" max="6929" width="10.28515625" customWidth="1"/>
    <col min="6931" max="6931" width="53" customWidth="1"/>
    <col min="7169" max="7169" width="3.42578125" customWidth="1"/>
    <col min="7175" max="7175" width="10" customWidth="1"/>
    <col min="7177" max="7177" width="51.7109375" customWidth="1"/>
    <col min="7178" max="7178" width="0.42578125" customWidth="1"/>
    <col min="7179" max="7179" width="4.42578125" customWidth="1"/>
    <col min="7185" max="7185" width="10.28515625" customWidth="1"/>
    <col min="7187" max="7187" width="53" customWidth="1"/>
    <col min="7425" max="7425" width="3.42578125" customWidth="1"/>
    <col min="7431" max="7431" width="10" customWidth="1"/>
    <col min="7433" max="7433" width="51.7109375" customWidth="1"/>
    <col min="7434" max="7434" width="0.42578125" customWidth="1"/>
    <col min="7435" max="7435" width="4.42578125" customWidth="1"/>
    <col min="7441" max="7441" width="10.28515625" customWidth="1"/>
    <col min="7443" max="7443" width="53" customWidth="1"/>
    <col min="7681" max="7681" width="3.42578125" customWidth="1"/>
    <col min="7687" max="7687" width="10" customWidth="1"/>
    <col min="7689" max="7689" width="51.7109375" customWidth="1"/>
    <col min="7690" max="7690" width="0.42578125" customWidth="1"/>
    <col min="7691" max="7691" width="4.42578125" customWidth="1"/>
    <col min="7697" max="7697" width="10.28515625" customWidth="1"/>
    <col min="7699" max="7699" width="53" customWidth="1"/>
    <col min="7937" max="7937" width="3.42578125" customWidth="1"/>
    <col min="7943" max="7943" width="10" customWidth="1"/>
    <col min="7945" max="7945" width="51.7109375" customWidth="1"/>
    <col min="7946" max="7946" width="0.42578125" customWidth="1"/>
    <col min="7947" max="7947" width="4.42578125" customWidth="1"/>
    <col min="7953" max="7953" width="10.28515625" customWidth="1"/>
    <col min="7955" max="7955" width="53" customWidth="1"/>
    <col min="8193" max="8193" width="3.42578125" customWidth="1"/>
    <col min="8199" max="8199" width="10" customWidth="1"/>
    <col min="8201" max="8201" width="51.7109375" customWidth="1"/>
    <col min="8202" max="8202" width="0.42578125" customWidth="1"/>
    <col min="8203" max="8203" width="4.42578125" customWidth="1"/>
    <col min="8209" max="8209" width="10.28515625" customWidth="1"/>
    <col min="8211" max="8211" width="53" customWidth="1"/>
    <col min="8449" max="8449" width="3.42578125" customWidth="1"/>
    <col min="8455" max="8455" width="10" customWidth="1"/>
    <col min="8457" max="8457" width="51.7109375" customWidth="1"/>
    <col min="8458" max="8458" width="0.42578125" customWidth="1"/>
    <col min="8459" max="8459" width="4.42578125" customWidth="1"/>
    <col min="8465" max="8465" width="10.28515625" customWidth="1"/>
    <col min="8467" max="8467" width="53" customWidth="1"/>
    <col min="8705" max="8705" width="3.42578125" customWidth="1"/>
    <col min="8711" max="8711" width="10" customWidth="1"/>
    <col min="8713" max="8713" width="51.7109375" customWidth="1"/>
    <col min="8714" max="8714" width="0.42578125" customWidth="1"/>
    <col min="8715" max="8715" width="4.42578125" customWidth="1"/>
    <col min="8721" max="8721" width="10.28515625" customWidth="1"/>
    <col min="8723" max="8723" width="53" customWidth="1"/>
    <col min="8961" max="8961" width="3.42578125" customWidth="1"/>
    <col min="8967" max="8967" width="10" customWidth="1"/>
    <col min="8969" max="8969" width="51.7109375" customWidth="1"/>
    <col min="8970" max="8970" width="0.42578125" customWidth="1"/>
    <col min="8971" max="8971" width="4.42578125" customWidth="1"/>
    <col min="8977" max="8977" width="10.28515625" customWidth="1"/>
    <col min="8979" max="8979" width="53" customWidth="1"/>
    <col min="9217" max="9217" width="3.42578125" customWidth="1"/>
    <col min="9223" max="9223" width="10" customWidth="1"/>
    <col min="9225" max="9225" width="51.7109375" customWidth="1"/>
    <col min="9226" max="9226" width="0.42578125" customWidth="1"/>
    <col min="9227" max="9227" width="4.42578125" customWidth="1"/>
    <col min="9233" max="9233" width="10.28515625" customWidth="1"/>
    <col min="9235" max="9235" width="53" customWidth="1"/>
    <col min="9473" max="9473" width="3.42578125" customWidth="1"/>
    <col min="9479" max="9479" width="10" customWidth="1"/>
    <col min="9481" max="9481" width="51.7109375" customWidth="1"/>
    <col min="9482" max="9482" width="0.42578125" customWidth="1"/>
    <col min="9483" max="9483" width="4.42578125" customWidth="1"/>
    <col min="9489" max="9489" width="10.28515625" customWidth="1"/>
    <col min="9491" max="9491" width="53" customWidth="1"/>
    <col min="9729" max="9729" width="3.42578125" customWidth="1"/>
    <col min="9735" max="9735" width="10" customWidth="1"/>
    <col min="9737" max="9737" width="51.7109375" customWidth="1"/>
    <col min="9738" max="9738" width="0.42578125" customWidth="1"/>
    <col min="9739" max="9739" width="4.42578125" customWidth="1"/>
    <col min="9745" max="9745" width="10.28515625" customWidth="1"/>
    <col min="9747" max="9747" width="53" customWidth="1"/>
    <col min="9985" max="9985" width="3.42578125" customWidth="1"/>
    <col min="9991" max="9991" width="10" customWidth="1"/>
    <col min="9993" max="9993" width="51.7109375" customWidth="1"/>
    <col min="9994" max="9994" width="0.42578125" customWidth="1"/>
    <col min="9995" max="9995" width="4.42578125" customWidth="1"/>
    <col min="10001" max="10001" width="10.28515625" customWidth="1"/>
    <col min="10003" max="10003" width="53" customWidth="1"/>
    <col min="10241" max="10241" width="3.42578125" customWidth="1"/>
    <col min="10247" max="10247" width="10" customWidth="1"/>
    <col min="10249" max="10249" width="51.7109375" customWidth="1"/>
    <col min="10250" max="10250" width="0.42578125" customWidth="1"/>
    <col min="10251" max="10251" width="4.42578125" customWidth="1"/>
    <col min="10257" max="10257" width="10.28515625" customWidth="1"/>
    <col min="10259" max="10259" width="53" customWidth="1"/>
    <col min="10497" max="10497" width="3.42578125" customWidth="1"/>
    <col min="10503" max="10503" width="10" customWidth="1"/>
    <col min="10505" max="10505" width="51.7109375" customWidth="1"/>
    <col min="10506" max="10506" width="0.42578125" customWidth="1"/>
    <col min="10507" max="10507" width="4.42578125" customWidth="1"/>
    <col min="10513" max="10513" width="10.28515625" customWidth="1"/>
    <col min="10515" max="10515" width="53" customWidth="1"/>
    <col min="10753" max="10753" width="3.42578125" customWidth="1"/>
    <col min="10759" max="10759" width="10" customWidth="1"/>
    <col min="10761" max="10761" width="51.7109375" customWidth="1"/>
    <col min="10762" max="10762" width="0.42578125" customWidth="1"/>
    <col min="10763" max="10763" width="4.42578125" customWidth="1"/>
    <col min="10769" max="10769" width="10.28515625" customWidth="1"/>
    <col min="10771" max="10771" width="53" customWidth="1"/>
    <col min="11009" max="11009" width="3.42578125" customWidth="1"/>
    <col min="11015" max="11015" width="10" customWidth="1"/>
    <col min="11017" max="11017" width="51.7109375" customWidth="1"/>
    <col min="11018" max="11018" width="0.42578125" customWidth="1"/>
    <col min="11019" max="11019" width="4.42578125" customWidth="1"/>
    <col min="11025" max="11025" width="10.28515625" customWidth="1"/>
    <col min="11027" max="11027" width="53" customWidth="1"/>
    <col min="11265" max="11265" width="3.42578125" customWidth="1"/>
    <col min="11271" max="11271" width="10" customWidth="1"/>
    <col min="11273" max="11273" width="51.7109375" customWidth="1"/>
    <col min="11274" max="11274" width="0.42578125" customWidth="1"/>
    <col min="11275" max="11275" width="4.42578125" customWidth="1"/>
    <col min="11281" max="11281" width="10.28515625" customWidth="1"/>
    <col min="11283" max="11283" width="53" customWidth="1"/>
    <col min="11521" max="11521" width="3.42578125" customWidth="1"/>
    <col min="11527" max="11527" width="10" customWidth="1"/>
    <col min="11529" max="11529" width="51.7109375" customWidth="1"/>
    <col min="11530" max="11530" width="0.42578125" customWidth="1"/>
    <col min="11531" max="11531" width="4.42578125" customWidth="1"/>
    <col min="11537" max="11537" width="10.28515625" customWidth="1"/>
    <col min="11539" max="11539" width="53" customWidth="1"/>
    <col min="11777" max="11777" width="3.42578125" customWidth="1"/>
    <col min="11783" max="11783" width="10" customWidth="1"/>
    <col min="11785" max="11785" width="51.7109375" customWidth="1"/>
    <col min="11786" max="11786" width="0.42578125" customWidth="1"/>
    <col min="11787" max="11787" width="4.42578125" customWidth="1"/>
    <col min="11793" max="11793" width="10.28515625" customWidth="1"/>
    <col min="11795" max="11795" width="53" customWidth="1"/>
    <col min="12033" max="12033" width="3.42578125" customWidth="1"/>
    <col min="12039" max="12039" width="10" customWidth="1"/>
    <col min="12041" max="12041" width="51.7109375" customWidth="1"/>
    <col min="12042" max="12042" width="0.42578125" customWidth="1"/>
    <col min="12043" max="12043" width="4.42578125" customWidth="1"/>
    <col min="12049" max="12049" width="10.28515625" customWidth="1"/>
    <col min="12051" max="12051" width="53" customWidth="1"/>
    <col min="12289" max="12289" width="3.42578125" customWidth="1"/>
    <col min="12295" max="12295" width="10" customWidth="1"/>
    <col min="12297" max="12297" width="51.7109375" customWidth="1"/>
    <col min="12298" max="12298" width="0.42578125" customWidth="1"/>
    <col min="12299" max="12299" width="4.42578125" customWidth="1"/>
    <col min="12305" max="12305" width="10.28515625" customWidth="1"/>
    <col min="12307" max="12307" width="53" customWidth="1"/>
    <col min="12545" max="12545" width="3.42578125" customWidth="1"/>
    <col min="12551" max="12551" width="10" customWidth="1"/>
    <col min="12553" max="12553" width="51.7109375" customWidth="1"/>
    <col min="12554" max="12554" width="0.42578125" customWidth="1"/>
    <col min="12555" max="12555" width="4.42578125" customWidth="1"/>
    <col min="12561" max="12561" width="10.28515625" customWidth="1"/>
    <col min="12563" max="12563" width="53" customWidth="1"/>
    <col min="12801" max="12801" width="3.42578125" customWidth="1"/>
    <col min="12807" max="12807" width="10" customWidth="1"/>
    <col min="12809" max="12809" width="51.7109375" customWidth="1"/>
    <col min="12810" max="12810" width="0.42578125" customWidth="1"/>
    <col min="12811" max="12811" width="4.42578125" customWidth="1"/>
    <col min="12817" max="12817" width="10.28515625" customWidth="1"/>
    <col min="12819" max="12819" width="53" customWidth="1"/>
    <col min="13057" max="13057" width="3.42578125" customWidth="1"/>
    <col min="13063" max="13063" width="10" customWidth="1"/>
    <col min="13065" max="13065" width="51.7109375" customWidth="1"/>
    <col min="13066" max="13066" width="0.42578125" customWidth="1"/>
    <col min="13067" max="13067" width="4.42578125" customWidth="1"/>
    <col min="13073" max="13073" width="10.28515625" customWidth="1"/>
    <col min="13075" max="13075" width="53" customWidth="1"/>
    <col min="13313" max="13313" width="3.42578125" customWidth="1"/>
    <col min="13319" max="13319" width="10" customWidth="1"/>
    <col min="13321" max="13321" width="51.7109375" customWidth="1"/>
    <col min="13322" max="13322" width="0.42578125" customWidth="1"/>
    <col min="13323" max="13323" width="4.42578125" customWidth="1"/>
    <col min="13329" max="13329" width="10.28515625" customWidth="1"/>
    <col min="13331" max="13331" width="53" customWidth="1"/>
    <col min="13569" max="13569" width="3.42578125" customWidth="1"/>
    <col min="13575" max="13575" width="10" customWidth="1"/>
    <col min="13577" max="13577" width="51.7109375" customWidth="1"/>
    <col min="13578" max="13578" width="0.42578125" customWidth="1"/>
    <col min="13579" max="13579" width="4.42578125" customWidth="1"/>
    <col min="13585" max="13585" width="10.28515625" customWidth="1"/>
    <col min="13587" max="13587" width="53" customWidth="1"/>
    <col min="13825" max="13825" width="3.42578125" customWidth="1"/>
    <col min="13831" max="13831" width="10" customWidth="1"/>
    <col min="13833" max="13833" width="51.7109375" customWidth="1"/>
    <col min="13834" max="13834" width="0.42578125" customWidth="1"/>
    <col min="13835" max="13835" width="4.42578125" customWidth="1"/>
    <col min="13841" max="13841" width="10.28515625" customWidth="1"/>
    <col min="13843" max="13843" width="53" customWidth="1"/>
    <col min="14081" max="14081" width="3.42578125" customWidth="1"/>
    <col min="14087" max="14087" width="10" customWidth="1"/>
    <col min="14089" max="14089" width="51.7109375" customWidth="1"/>
    <col min="14090" max="14090" width="0.42578125" customWidth="1"/>
    <col min="14091" max="14091" width="4.42578125" customWidth="1"/>
    <col min="14097" max="14097" width="10.28515625" customWidth="1"/>
    <col min="14099" max="14099" width="53" customWidth="1"/>
    <col min="14337" max="14337" width="3.42578125" customWidth="1"/>
    <col min="14343" max="14343" width="10" customWidth="1"/>
    <col min="14345" max="14345" width="51.7109375" customWidth="1"/>
    <col min="14346" max="14346" width="0.42578125" customWidth="1"/>
    <col min="14347" max="14347" width="4.42578125" customWidth="1"/>
    <col min="14353" max="14353" width="10.28515625" customWidth="1"/>
    <col min="14355" max="14355" width="53" customWidth="1"/>
    <col min="14593" max="14593" width="3.42578125" customWidth="1"/>
    <col min="14599" max="14599" width="10" customWidth="1"/>
    <col min="14601" max="14601" width="51.7109375" customWidth="1"/>
    <col min="14602" max="14602" width="0.42578125" customWidth="1"/>
    <col min="14603" max="14603" width="4.42578125" customWidth="1"/>
    <col min="14609" max="14609" width="10.28515625" customWidth="1"/>
    <col min="14611" max="14611" width="53" customWidth="1"/>
    <col min="14849" max="14849" width="3.42578125" customWidth="1"/>
    <col min="14855" max="14855" width="10" customWidth="1"/>
    <col min="14857" max="14857" width="51.7109375" customWidth="1"/>
    <col min="14858" max="14858" width="0.42578125" customWidth="1"/>
    <col min="14859" max="14859" width="4.42578125" customWidth="1"/>
    <col min="14865" max="14865" width="10.28515625" customWidth="1"/>
    <col min="14867" max="14867" width="53" customWidth="1"/>
    <col min="15105" max="15105" width="3.42578125" customWidth="1"/>
    <col min="15111" max="15111" width="10" customWidth="1"/>
    <col min="15113" max="15113" width="51.7109375" customWidth="1"/>
    <col min="15114" max="15114" width="0.42578125" customWidth="1"/>
    <col min="15115" max="15115" width="4.42578125" customWidth="1"/>
    <col min="15121" max="15121" width="10.28515625" customWidth="1"/>
    <col min="15123" max="15123" width="53" customWidth="1"/>
    <col min="15361" max="15361" width="3.42578125" customWidth="1"/>
    <col min="15367" max="15367" width="10" customWidth="1"/>
    <col min="15369" max="15369" width="51.7109375" customWidth="1"/>
    <col min="15370" max="15370" width="0.42578125" customWidth="1"/>
    <col min="15371" max="15371" width="4.42578125" customWidth="1"/>
    <col min="15377" max="15377" width="10.28515625" customWidth="1"/>
    <col min="15379" max="15379" width="53" customWidth="1"/>
    <col min="15617" max="15617" width="3.42578125" customWidth="1"/>
    <col min="15623" max="15623" width="10" customWidth="1"/>
    <col min="15625" max="15625" width="51.7109375" customWidth="1"/>
    <col min="15626" max="15626" width="0.42578125" customWidth="1"/>
    <col min="15627" max="15627" width="4.42578125" customWidth="1"/>
    <col min="15633" max="15633" width="10.28515625" customWidth="1"/>
    <col min="15635" max="15635" width="53" customWidth="1"/>
    <col min="15873" max="15873" width="3.42578125" customWidth="1"/>
    <col min="15879" max="15879" width="10" customWidth="1"/>
    <col min="15881" max="15881" width="51.7109375" customWidth="1"/>
    <col min="15882" max="15882" width="0.42578125" customWidth="1"/>
    <col min="15883" max="15883" width="4.42578125" customWidth="1"/>
    <col min="15889" max="15889" width="10.28515625" customWidth="1"/>
    <col min="15891" max="15891" width="53" customWidth="1"/>
    <col min="16129" max="16129" width="3.42578125" customWidth="1"/>
    <col min="16135" max="16135" width="10" customWidth="1"/>
    <col min="16137" max="16137" width="51.7109375" customWidth="1"/>
    <col min="16138" max="16138" width="0.42578125" customWidth="1"/>
    <col min="16139" max="16139" width="4.42578125" customWidth="1"/>
    <col min="16145" max="16145" width="10.28515625" customWidth="1"/>
    <col min="16147" max="16147" width="53"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361</v>
      </c>
      <c r="E2" s="3"/>
      <c r="F2" s="3"/>
      <c r="G2" s="3"/>
      <c r="H2" s="3"/>
      <c r="I2" s="3"/>
      <c r="K2" s="3" t="s">
        <v>205</v>
      </c>
      <c r="L2" s="3"/>
      <c r="M2" s="3"/>
      <c r="N2" s="3" t="s">
        <v>362</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1547.2</v>
      </c>
      <c r="G4" s="3" t="s">
        <v>207</v>
      </c>
      <c r="H4" s="3"/>
      <c r="I4" s="3"/>
      <c r="J4" s="3"/>
      <c r="K4" s="3"/>
      <c r="L4" s="5" t="s">
        <v>206</v>
      </c>
      <c r="M4" s="3"/>
      <c r="N4" s="3"/>
      <c r="O4" s="3"/>
      <c r="P4" s="3">
        <v>2940</v>
      </c>
      <c r="Q4" s="3" t="s">
        <v>207</v>
      </c>
      <c r="R4" s="3"/>
      <c r="S4" s="3"/>
    </row>
    <row r="5" spans="1:19" ht="15" customHeight="1" x14ac:dyDescent="0.25">
      <c r="A5" s="175" t="s">
        <v>209</v>
      </c>
      <c r="B5" s="177" t="s">
        <v>210</v>
      </c>
      <c r="C5" s="178"/>
      <c r="D5" s="178"/>
      <c r="E5" s="178"/>
      <c r="F5" s="178"/>
      <c r="G5" s="180" t="s">
        <v>442</v>
      </c>
      <c r="H5" s="181"/>
      <c r="I5" s="175" t="s">
        <v>212</v>
      </c>
      <c r="J5" s="31"/>
      <c r="K5" s="175" t="s">
        <v>209</v>
      </c>
      <c r="L5" s="177" t="s">
        <v>210</v>
      </c>
      <c r="M5" s="178"/>
      <c r="N5" s="178"/>
      <c r="O5" s="178"/>
      <c r="P5" s="178"/>
      <c r="Q5" s="180" t="s">
        <v>442</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20492.22</v>
      </c>
      <c r="H7" s="191"/>
      <c r="I7" s="192"/>
      <c r="J7" s="33"/>
      <c r="K7" s="185" t="s">
        <v>213</v>
      </c>
      <c r="L7" s="187" t="s">
        <v>354</v>
      </c>
      <c r="M7" s="188"/>
      <c r="N7" s="188"/>
      <c r="O7" s="188"/>
      <c r="P7" s="188"/>
      <c r="Q7" s="190">
        <v>65357.02</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1.29*12*F4</f>
        <v>23950.656000000003</v>
      </c>
      <c r="H9" s="164"/>
      <c r="I9" s="169" t="s">
        <v>215</v>
      </c>
      <c r="J9" s="35"/>
      <c r="K9" s="6"/>
      <c r="L9" s="161" t="s">
        <v>214</v>
      </c>
      <c r="M9" s="162"/>
      <c r="N9" s="162"/>
      <c r="O9" s="162"/>
      <c r="P9" s="162"/>
      <c r="Q9" s="163">
        <f>1.6*12*P4</f>
        <v>56448.000000000007</v>
      </c>
      <c r="R9" s="164"/>
      <c r="S9" s="169" t="s">
        <v>215</v>
      </c>
    </row>
    <row r="10" spans="1:19" ht="38.2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3.5"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13.5" customHeight="1" thickBot="1" x14ac:dyDescent="0.3">
      <c r="A13" s="7"/>
      <c r="B13" s="141" t="s">
        <v>221</v>
      </c>
      <c r="C13" s="142"/>
      <c r="D13" s="142"/>
      <c r="E13" s="142"/>
      <c r="F13" s="142"/>
      <c r="G13" s="143">
        <f>0.3*12*F4</f>
        <v>5569.9199999999992</v>
      </c>
      <c r="H13" s="144"/>
      <c r="I13" s="8" t="s">
        <v>222</v>
      </c>
      <c r="J13" s="38"/>
      <c r="K13" s="7"/>
      <c r="L13" s="141" t="s">
        <v>221</v>
      </c>
      <c r="M13" s="142"/>
      <c r="N13" s="142"/>
      <c r="O13" s="142"/>
      <c r="P13" s="142"/>
      <c r="Q13" s="143">
        <f>0.3*12*P4</f>
        <v>10583.999999999998</v>
      </c>
      <c r="R13" s="144"/>
      <c r="S13" s="8" t="s">
        <v>222</v>
      </c>
    </row>
    <row r="14" spans="1:19" ht="13.5" customHeight="1" x14ac:dyDescent="0.25">
      <c r="A14" s="9"/>
      <c r="B14" s="145" t="s">
        <v>223</v>
      </c>
      <c r="C14" s="146"/>
      <c r="D14" s="146"/>
      <c r="E14" s="146"/>
      <c r="F14" s="146"/>
      <c r="G14" s="86">
        <f>1.95*12*F4</f>
        <v>36204.479999999996</v>
      </c>
      <c r="H14" s="147"/>
      <c r="I14" s="152" t="s">
        <v>224</v>
      </c>
      <c r="J14" s="38"/>
      <c r="K14" s="9"/>
      <c r="L14" s="145" t="s">
        <v>223</v>
      </c>
      <c r="M14" s="146"/>
      <c r="N14" s="146"/>
      <c r="O14" s="146"/>
      <c r="P14" s="146"/>
      <c r="Q14" s="86">
        <f>1.99*12*P4</f>
        <v>70207.199999999997</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0.02*12*F4</f>
        <v>371.32799999999997</v>
      </c>
      <c r="H18" s="87"/>
      <c r="I18" s="129" t="s">
        <v>220</v>
      </c>
      <c r="J18" s="36"/>
      <c r="K18" s="12"/>
      <c r="L18" s="125" t="s">
        <v>230</v>
      </c>
      <c r="M18" s="126"/>
      <c r="N18" s="126"/>
      <c r="O18" s="126"/>
      <c r="P18" s="126"/>
      <c r="Q18" s="86">
        <f>0.03*12*P4</f>
        <v>1058.3999999999999</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13.5" customHeight="1" thickBot="1" x14ac:dyDescent="0.3">
      <c r="A21" s="13"/>
      <c r="B21" s="84" t="s">
        <v>233</v>
      </c>
      <c r="C21" s="85"/>
      <c r="D21" s="85"/>
      <c r="E21" s="85"/>
      <c r="F21" s="85"/>
      <c r="G21" s="86">
        <f>1.45*12*F4</f>
        <v>26921.279999999999</v>
      </c>
      <c r="H21" s="87"/>
      <c r="I21" s="299" t="s">
        <v>592</v>
      </c>
      <c r="J21" s="41"/>
      <c r="K21" s="13"/>
      <c r="L21" s="84" t="s">
        <v>233</v>
      </c>
      <c r="M21" s="85"/>
      <c r="N21" s="85"/>
      <c r="O21" s="85"/>
      <c r="P21" s="85"/>
      <c r="Q21" s="86">
        <f>1.56*12*P4</f>
        <v>55036.799999999996</v>
      </c>
      <c r="R21" s="87"/>
      <c r="S21" s="299" t="s">
        <v>593</v>
      </c>
    </row>
    <row r="22" spans="1:19" ht="25.5" customHeight="1" x14ac:dyDescent="0.25">
      <c r="A22" s="118"/>
      <c r="B22" s="121" t="s">
        <v>226</v>
      </c>
      <c r="C22" s="122"/>
      <c r="D22" s="122"/>
      <c r="E22" s="122"/>
      <c r="F22" s="122"/>
      <c r="G22" s="88"/>
      <c r="H22" s="89"/>
      <c r="I22" s="300"/>
      <c r="J22" s="41"/>
      <c r="K22" s="118"/>
      <c r="L22" s="121" t="s">
        <v>226</v>
      </c>
      <c r="M22" s="122"/>
      <c r="N22" s="122"/>
      <c r="O22" s="122"/>
      <c r="P22" s="122"/>
      <c r="Q22" s="88"/>
      <c r="R22" s="89"/>
      <c r="S22" s="300"/>
    </row>
    <row r="23" spans="1:19" ht="24.6" customHeight="1" x14ac:dyDescent="0.25">
      <c r="A23" s="119"/>
      <c r="B23" s="121" t="s">
        <v>227</v>
      </c>
      <c r="C23" s="122"/>
      <c r="D23" s="122"/>
      <c r="E23" s="122"/>
      <c r="F23" s="122"/>
      <c r="G23" s="88"/>
      <c r="H23" s="89"/>
      <c r="I23" s="300"/>
      <c r="J23" s="42"/>
      <c r="K23" s="119"/>
      <c r="L23" s="121" t="s">
        <v>227</v>
      </c>
      <c r="M23" s="122"/>
      <c r="N23" s="122"/>
      <c r="O23" s="122"/>
      <c r="P23" s="122"/>
      <c r="Q23" s="88"/>
      <c r="R23" s="89"/>
      <c r="S23" s="300"/>
    </row>
    <row r="24" spans="1:19" ht="23.45" customHeight="1" x14ac:dyDescent="0.25">
      <c r="A24" s="119"/>
      <c r="B24" s="121" t="s">
        <v>228</v>
      </c>
      <c r="C24" s="122"/>
      <c r="D24" s="122"/>
      <c r="E24" s="122"/>
      <c r="F24" s="122"/>
      <c r="G24" s="88"/>
      <c r="H24" s="89"/>
      <c r="I24" s="300"/>
      <c r="J24" s="43"/>
      <c r="K24" s="119"/>
      <c r="L24" s="121" t="s">
        <v>228</v>
      </c>
      <c r="M24" s="122"/>
      <c r="N24" s="122"/>
      <c r="O24" s="122"/>
      <c r="P24" s="122"/>
      <c r="Q24" s="88"/>
      <c r="R24" s="89"/>
      <c r="S24" s="300"/>
    </row>
    <row r="25" spans="1:19" ht="45.75" customHeight="1" thickBot="1" x14ac:dyDescent="0.3">
      <c r="A25" s="120"/>
      <c r="B25" s="123" t="s">
        <v>234</v>
      </c>
      <c r="C25" s="124"/>
      <c r="D25" s="124"/>
      <c r="E25" s="124"/>
      <c r="F25" s="124"/>
      <c r="G25" s="90"/>
      <c r="H25" s="91"/>
      <c r="I25" s="301"/>
      <c r="J25" s="44"/>
      <c r="K25" s="120"/>
      <c r="L25" s="123" t="s">
        <v>234</v>
      </c>
      <c r="M25" s="124"/>
      <c r="N25" s="124"/>
      <c r="O25" s="124"/>
      <c r="P25" s="124"/>
      <c r="Q25" s="90"/>
      <c r="R25" s="91"/>
      <c r="S25" s="301"/>
    </row>
    <row r="26" spans="1:19" ht="2.25" customHeight="1" thickBot="1" x14ac:dyDescent="0.3">
      <c r="A26" s="15"/>
      <c r="B26" s="137" t="s">
        <v>248</v>
      </c>
      <c r="C26" s="138"/>
      <c r="D26" s="138"/>
      <c r="E26" s="138"/>
      <c r="F26" s="138"/>
      <c r="G26" s="139"/>
      <c r="H26" s="140"/>
      <c r="I26" s="16"/>
      <c r="J26" s="40"/>
      <c r="K26" s="15"/>
      <c r="L26" s="137" t="s">
        <v>248</v>
      </c>
      <c r="M26" s="138"/>
      <c r="N26" s="138"/>
      <c r="O26" s="138"/>
      <c r="P26" s="138"/>
      <c r="Q26" s="139"/>
      <c r="R26" s="140"/>
      <c r="S26" s="16"/>
    </row>
    <row r="27" spans="1:19" ht="33.75" hidden="1" customHeight="1" x14ac:dyDescent="0.25">
      <c r="A27" s="15"/>
      <c r="B27" s="137" t="s">
        <v>235</v>
      </c>
      <c r="C27" s="138"/>
      <c r="D27" s="138"/>
      <c r="E27" s="138"/>
      <c r="F27" s="138"/>
      <c r="G27" s="139"/>
      <c r="H27" s="140"/>
      <c r="I27" s="16"/>
      <c r="J27" s="45"/>
      <c r="K27" s="15"/>
      <c r="L27" s="137" t="s">
        <v>235</v>
      </c>
      <c r="M27" s="138"/>
      <c r="N27" s="138"/>
      <c r="O27" s="138"/>
      <c r="P27" s="138"/>
      <c r="Q27" s="139"/>
      <c r="R27" s="140"/>
      <c r="S27" s="16"/>
    </row>
    <row r="28" spans="1:19" ht="33" customHeight="1" thickBot="1" x14ac:dyDescent="0.3">
      <c r="A28" s="17"/>
      <c r="B28" s="78" t="s">
        <v>237</v>
      </c>
      <c r="C28" s="79"/>
      <c r="D28" s="79"/>
      <c r="E28" s="79"/>
      <c r="F28" s="79"/>
      <c r="G28" s="86">
        <v>1766</v>
      </c>
      <c r="H28" s="87"/>
      <c r="I28" s="108" t="s">
        <v>229</v>
      </c>
      <c r="J28" s="41"/>
      <c r="K28" s="17"/>
      <c r="L28" s="78" t="s">
        <v>237</v>
      </c>
      <c r="M28" s="79"/>
      <c r="N28" s="79"/>
      <c r="O28" s="79"/>
      <c r="P28" s="79"/>
      <c r="Q28" s="86">
        <v>3487</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94783.66399999999</v>
      </c>
      <c r="H30" s="115"/>
      <c r="I30" s="20"/>
      <c r="J30" s="47"/>
      <c r="K30" s="19"/>
      <c r="L30" s="112" t="s">
        <v>239</v>
      </c>
      <c r="M30" s="113"/>
      <c r="N30" s="113"/>
      <c r="O30" s="113"/>
      <c r="P30" s="113"/>
      <c r="Q30" s="114">
        <f>SUM(Q9:R29)</f>
        <v>196821.4</v>
      </c>
      <c r="R30" s="115"/>
      <c r="S30" s="20"/>
    </row>
    <row r="31" spans="1:19" ht="18" customHeight="1" thickBot="1" x14ac:dyDescent="0.3">
      <c r="A31" s="21"/>
      <c r="B31" s="101" t="s">
        <v>240</v>
      </c>
      <c r="C31" s="102"/>
      <c r="D31" s="102"/>
      <c r="E31" s="102"/>
      <c r="F31" s="102"/>
      <c r="G31" s="116">
        <f>G30*1.2</f>
        <v>113740.39679999999</v>
      </c>
      <c r="H31" s="117"/>
      <c r="I31" s="22"/>
      <c r="J31" s="47"/>
      <c r="K31" s="21"/>
      <c r="L31" s="101" t="s">
        <v>240</v>
      </c>
      <c r="M31" s="102"/>
      <c r="N31" s="102"/>
      <c r="O31" s="102"/>
      <c r="P31" s="102"/>
      <c r="Q31" s="116">
        <f>Q30*1.2</f>
        <v>236185.68</v>
      </c>
      <c r="R31" s="117"/>
      <c r="S31" s="22"/>
    </row>
    <row r="32" spans="1:19" ht="24" customHeight="1" thickBot="1" x14ac:dyDescent="0.3">
      <c r="A32" s="24"/>
      <c r="B32" s="96" t="s">
        <v>443</v>
      </c>
      <c r="C32" s="97"/>
      <c r="D32" s="97"/>
      <c r="E32" s="97"/>
      <c r="F32" s="97"/>
      <c r="G32" s="311">
        <v>114640.9</v>
      </c>
      <c r="H32" s="312"/>
      <c r="I32" s="313"/>
      <c r="J32" s="47"/>
      <c r="K32" s="24"/>
      <c r="L32" s="96" t="s">
        <v>443</v>
      </c>
      <c r="M32" s="97"/>
      <c r="N32" s="97"/>
      <c r="O32" s="97"/>
      <c r="P32" s="97"/>
      <c r="Q32" s="311">
        <v>235063.32</v>
      </c>
      <c r="R32" s="312"/>
      <c r="S32" s="313"/>
    </row>
    <row r="33" spans="1:19" ht="24" customHeight="1" thickBot="1" x14ac:dyDescent="0.3">
      <c r="A33" s="19"/>
      <c r="B33" s="101" t="s">
        <v>242</v>
      </c>
      <c r="C33" s="102"/>
      <c r="D33" s="102"/>
      <c r="E33" s="102"/>
      <c r="F33" s="102"/>
      <c r="G33" s="307">
        <v>121479.57</v>
      </c>
      <c r="H33" s="308"/>
      <c r="I33" s="309"/>
      <c r="J33" s="48"/>
      <c r="K33" s="19"/>
      <c r="L33" s="101" t="s">
        <v>242</v>
      </c>
      <c r="M33" s="102"/>
      <c r="N33" s="102"/>
      <c r="O33" s="102"/>
      <c r="P33" s="102"/>
      <c r="Q33" s="307">
        <v>245128.32000000001</v>
      </c>
      <c r="R33" s="308"/>
      <c r="S33" s="309"/>
    </row>
    <row r="34" spans="1:19" ht="24" customHeight="1" thickBot="1" x14ac:dyDescent="0.3">
      <c r="A34" s="19"/>
      <c r="B34" s="106" t="s">
        <v>444</v>
      </c>
      <c r="C34" s="107"/>
      <c r="D34" s="107"/>
      <c r="E34" s="107"/>
      <c r="F34" s="107"/>
      <c r="G34" s="307">
        <v>13653.55</v>
      </c>
      <c r="H34" s="308"/>
      <c r="I34" s="309"/>
      <c r="J34" s="49"/>
      <c r="K34" s="19"/>
      <c r="L34" s="106" t="s">
        <v>444</v>
      </c>
      <c r="M34" s="107"/>
      <c r="N34" s="107"/>
      <c r="O34" s="107"/>
      <c r="P34" s="208"/>
      <c r="Q34" s="307">
        <v>55292.02</v>
      </c>
      <c r="R34" s="308"/>
      <c r="S34" s="309"/>
    </row>
    <row r="35" spans="1:19" x14ac:dyDescent="0.25">
      <c r="A35" s="4"/>
      <c r="B35" s="339"/>
      <c r="C35" s="339"/>
      <c r="D35" s="339"/>
      <c r="E35" s="339"/>
      <c r="F35" s="339"/>
      <c r="G35" s="339"/>
      <c r="H35" s="339"/>
      <c r="I35" s="339"/>
      <c r="K35" s="4"/>
      <c r="L35" s="26"/>
      <c r="M35" s="26"/>
      <c r="N35" s="26"/>
      <c r="O35" s="26"/>
      <c r="P35" s="26"/>
      <c r="Q35" s="27"/>
      <c r="R35" s="3"/>
      <c r="S35" s="3"/>
    </row>
    <row r="36" spans="1:19" x14ac:dyDescent="0.25">
      <c r="E36" s="50"/>
      <c r="I36" s="5"/>
      <c r="O36" s="50"/>
      <c r="S36" s="5"/>
    </row>
    <row r="37" spans="1:19" x14ac:dyDescent="0.25">
      <c r="A37" s="3"/>
      <c r="I37" s="5"/>
      <c r="K37" s="3"/>
      <c r="S37" s="5"/>
    </row>
    <row r="38" spans="1:19" ht="15.75" x14ac:dyDescent="0.25">
      <c r="A38" s="30"/>
      <c r="C38" s="30"/>
      <c r="K38" s="30"/>
      <c r="N38" s="30"/>
    </row>
    <row r="39" spans="1:19" ht="15.75" x14ac:dyDescent="0.25">
      <c r="A39" s="30"/>
      <c r="C39" s="30"/>
      <c r="K39" s="30"/>
      <c r="N39" s="30"/>
    </row>
    <row r="40" spans="1:19" x14ac:dyDescent="0.25">
      <c r="A40" s="3"/>
      <c r="B40" s="3"/>
      <c r="C40" s="3"/>
      <c r="D40" s="3"/>
      <c r="E40" s="4" t="s">
        <v>204</v>
      </c>
      <c r="F40" s="3"/>
      <c r="G40" s="3"/>
      <c r="H40" s="3"/>
      <c r="I40" s="3"/>
      <c r="K40" s="3"/>
      <c r="L40" s="3"/>
      <c r="M40" s="3"/>
      <c r="N40" s="3"/>
      <c r="O40" s="4" t="s">
        <v>204</v>
      </c>
      <c r="P40" s="3"/>
      <c r="Q40" s="3"/>
      <c r="R40" s="3"/>
      <c r="S40" s="3"/>
    </row>
    <row r="41" spans="1:19" x14ac:dyDescent="0.25">
      <c r="A41" s="3" t="s">
        <v>205</v>
      </c>
      <c r="B41" s="3"/>
      <c r="C41" s="3"/>
      <c r="D41" s="3" t="s">
        <v>363</v>
      </c>
      <c r="E41" s="3"/>
      <c r="F41" s="3"/>
      <c r="G41" s="3"/>
      <c r="H41" s="3"/>
      <c r="I41" s="3"/>
      <c r="K41" s="3" t="s">
        <v>205</v>
      </c>
      <c r="L41" s="3"/>
      <c r="M41" s="3"/>
      <c r="N41" s="3" t="s">
        <v>364</v>
      </c>
      <c r="O41" s="3"/>
      <c r="P41" s="3"/>
      <c r="Q41" s="3"/>
      <c r="R41" s="3"/>
      <c r="S41" s="3"/>
    </row>
    <row r="42" spans="1:19" x14ac:dyDescent="0.25">
      <c r="A42" s="3"/>
      <c r="B42" s="5" t="s">
        <v>440</v>
      </c>
      <c r="C42" s="3"/>
      <c r="D42" s="3"/>
      <c r="E42" s="3"/>
      <c r="F42" s="3"/>
      <c r="G42" s="3"/>
      <c r="H42" s="3"/>
      <c r="I42" s="3"/>
      <c r="J42" s="3"/>
      <c r="K42" s="3"/>
      <c r="L42" s="5" t="s">
        <v>440</v>
      </c>
      <c r="M42" s="3"/>
      <c r="N42" s="3"/>
      <c r="O42" s="3"/>
      <c r="P42" s="3"/>
      <c r="Q42" s="3"/>
      <c r="R42" s="3"/>
      <c r="S42" s="3"/>
    </row>
    <row r="43" spans="1:19" ht="15.75" thickBot="1" x14ac:dyDescent="0.3">
      <c r="A43" s="3"/>
      <c r="B43" s="5" t="s">
        <v>206</v>
      </c>
      <c r="C43" s="3"/>
      <c r="D43" s="3"/>
      <c r="E43" s="3"/>
      <c r="F43" s="3">
        <v>614.70000000000005</v>
      </c>
      <c r="G43" s="3" t="s">
        <v>207</v>
      </c>
      <c r="H43" s="3"/>
      <c r="I43" s="3"/>
      <c r="J43" s="3"/>
      <c r="K43" s="3"/>
      <c r="L43" s="5" t="s">
        <v>206</v>
      </c>
      <c r="M43" s="3"/>
      <c r="N43" s="3"/>
      <c r="O43" s="3"/>
      <c r="P43" s="3">
        <v>3301</v>
      </c>
      <c r="Q43" s="3" t="s">
        <v>207</v>
      </c>
      <c r="R43" s="3"/>
      <c r="S43" s="3"/>
    </row>
    <row r="44" spans="1:19" ht="15" customHeight="1" x14ac:dyDescent="0.25">
      <c r="A44" s="175" t="s">
        <v>209</v>
      </c>
      <c r="B44" s="177" t="s">
        <v>210</v>
      </c>
      <c r="C44" s="178"/>
      <c r="D44" s="178"/>
      <c r="E44" s="178"/>
      <c r="F44" s="178"/>
      <c r="G44" s="180" t="s">
        <v>442</v>
      </c>
      <c r="H44" s="181"/>
      <c r="I44" s="175" t="s">
        <v>212</v>
      </c>
      <c r="J44" s="51"/>
      <c r="K44" s="175" t="s">
        <v>209</v>
      </c>
      <c r="L44" s="177" t="s">
        <v>210</v>
      </c>
      <c r="M44" s="178"/>
      <c r="N44" s="178"/>
      <c r="O44" s="178"/>
      <c r="P44" s="178"/>
      <c r="Q44" s="180" t="s">
        <v>442</v>
      </c>
      <c r="R44" s="181"/>
      <c r="S44" s="175" t="s">
        <v>212</v>
      </c>
    </row>
    <row r="45" spans="1:19" ht="69" customHeight="1" thickBot="1" x14ac:dyDescent="0.3">
      <c r="A45" s="176"/>
      <c r="B45" s="179"/>
      <c r="C45" s="179"/>
      <c r="D45" s="179"/>
      <c r="E45" s="179"/>
      <c r="F45" s="179"/>
      <c r="G45" s="182"/>
      <c r="H45" s="183"/>
      <c r="I45" s="184"/>
      <c r="J45" s="52"/>
      <c r="K45" s="176"/>
      <c r="L45" s="179"/>
      <c r="M45" s="179"/>
      <c r="N45" s="179"/>
      <c r="O45" s="179"/>
      <c r="P45" s="179"/>
      <c r="Q45" s="182"/>
      <c r="R45" s="183"/>
      <c r="S45" s="184"/>
    </row>
    <row r="46" spans="1:19" ht="15" customHeight="1" x14ac:dyDescent="0.25">
      <c r="A46" s="185" t="s">
        <v>213</v>
      </c>
      <c r="B46" s="187" t="s">
        <v>354</v>
      </c>
      <c r="C46" s="188"/>
      <c r="D46" s="188"/>
      <c r="E46" s="188"/>
      <c r="F46" s="188"/>
      <c r="G46" s="190">
        <v>21167.56</v>
      </c>
      <c r="H46" s="191"/>
      <c r="I46" s="192"/>
      <c r="J46" s="53"/>
      <c r="K46" s="185" t="s">
        <v>213</v>
      </c>
      <c r="L46" s="187" t="s">
        <v>354</v>
      </c>
      <c r="M46" s="188"/>
      <c r="N46" s="188"/>
      <c r="O46" s="188"/>
      <c r="P46" s="188"/>
      <c r="Q46" s="190">
        <v>64539.72</v>
      </c>
      <c r="R46" s="191"/>
      <c r="S46" s="192"/>
    </row>
    <row r="47" spans="1:19" ht="7.5" customHeight="1" thickBot="1" x14ac:dyDescent="0.3">
      <c r="A47" s="186"/>
      <c r="B47" s="189"/>
      <c r="C47" s="189"/>
      <c r="D47" s="189"/>
      <c r="E47" s="189"/>
      <c r="F47" s="189"/>
      <c r="G47" s="193"/>
      <c r="H47" s="194"/>
      <c r="I47" s="128"/>
      <c r="J47" s="54"/>
      <c r="K47" s="186"/>
      <c r="L47" s="189"/>
      <c r="M47" s="189"/>
      <c r="N47" s="189"/>
      <c r="O47" s="189"/>
      <c r="P47" s="189"/>
      <c r="Q47" s="193"/>
      <c r="R47" s="194"/>
      <c r="S47" s="128"/>
    </row>
    <row r="48" spans="1:19" ht="17.25" customHeight="1" x14ac:dyDescent="0.25">
      <c r="A48" s="6"/>
      <c r="B48" s="161" t="s">
        <v>214</v>
      </c>
      <c r="C48" s="162"/>
      <c r="D48" s="162"/>
      <c r="E48" s="162"/>
      <c r="F48" s="162"/>
      <c r="G48" s="163">
        <f>1.45*12*F43</f>
        <v>10695.78</v>
      </c>
      <c r="H48" s="164"/>
      <c r="I48" s="169" t="s">
        <v>215</v>
      </c>
      <c r="J48" s="42"/>
      <c r="K48" s="6"/>
      <c r="L48" s="161" t="s">
        <v>214</v>
      </c>
      <c r="M48" s="162"/>
      <c r="N48" s="162"/>
      <c r="O48" s="162"/>
      <c r="P48" s="162"/>
      <c r="Q48" s="163">
        <f>1.67*12*P43</f>
        <v>66152.039999999994</v>
      </c>
      <c r="R48" s="164"/>
      <c r="S48" s="169" t="s">
        <v>215</v>
      </c>
    </row>
    <row r="49" spans="1:19" ht="31.5" customHeight="1" thickBot="1" x14ac:dyDescent="0.3">
      <c r="A49" s="7"/>
      <c r="B49" s="171" t="s">
        <v>216</v>
      </c>
      <c r="C49" s="172"/>
      <c r="D49" s="172"/>
      <c r="E49" s="172"/>
      <c r="F49" s="172"/>
      <c r="G49" s="165"/>
      <c r="H49" s="166"/>
      <c r="I49" s="170"/>
      <c r="J49" s="43"/>
      <c r="K49" s="7"/>
      <c r="L49" s="171" t="s">
        <v>216</v>
      </c>
      <c r="M49" s="172"/>
      <c r="N49" s="172"/>
      <c r="O49" s="172"/>
      <c r="P49" s="172"/>
      <c r="Q49" s="165"/>
      <c r="R49" s="166"/>
      <c r="S49" s="170"/>
    </row>
    <row r="50" spans="1:19" ht="13.5" customHeight="1" thickBot="1" x14ac:dyDescent="0.3">
      <c r="A50" s="7"/>
      <c r="B50" s="173" t="s">
        <v>217</v>
      </c>
      <c r="C50" s="174"/>
      <c r="D50" s="174"/>
      <c r="E50" s="174"/>
      <c r="F50" s="174"/>
      <c r="G50" s="167"/>
      <c r="H50" s="168"/>
      <c r="I50" s="8" t="s">
        <v>218</v>
      </c>
      <c r="J50" s="43"/>
      <c r="K50" s="7"/>
      <c r="L50" s="173" t="s">
        <v>217</v>
      </c>
      <c r="M50" s="174"/>
      <c r="N50" s="174"/>
      <c r="O50" s="174"/>
      <c r="P50" s="174"/>
      <c r="Q50" s="167"/>
      <c r="R50" s="168"/>
      <c r="S50" s="8" t="s">
        <v>218</v>
      </c>
    </row>
    <row r="51" spans="1:19" ht="13.5" customHeight="1" thickBot="1" x14ac:dyDescent="0.3">
      <c r="A51" s="7"/>
      <c r="B51" s="141" t="s">
        <v>219</v>
      </c>
      <c r="C51" s="142"/>
      <c r="D51" s="142"/>
      <c r="E51" s="142"/>
      <c r="F51" s="142"/>
      <c r="G51" s="143">
        <v>0</v>
      </c>
      <c r="H51" s="144"/>
      <c r="I51" s="8" t="s">
        <v>220</v>
      </c>
      <c r="J51" s="55"/>
      <c r="K51" s="7"/>
      <c r="L51" s="141" t="s">
        <v>219</v>
      </c>
      <c r="M51" s="142"/>
      <c r="N51" s="142"/>
      <c r="O51" s="142"/>
      <c r="P51" s="142"/>
      <c r="Q51" s="143">
        <v>0</v>
      </c>
      <c r="R51" s="144"/>
      <c r="S51" s="8" t="s">
        <v>220</v>
      </c>
    </row>
    <row r="52" spans="1:19" ht="18.75" customHeight="1" thickBot="1" x14ac:dyDescent="0.3">
      <c r="A52" s="7"/>
      <c r="B52" s="141" t="s">
        <v>221</v>
      </c>
      <c r="C52" s="142"/>
      <c r="D52" s="142"/>
      <c r="E52" s="142"/>
      <c r="F52" s="142"/>
      <c r="G52" s="143">
        <f>0.3*12*F43</f>
        <v>2212.92</v>
      </c>
      <c r="H52" s="144"/>
      <c r="I52" s="8" t="s">
        <v>222</v>
      </c>
      <c r="J52" s="56"/>
      <c r="K52" s="7"/>
      <c r="L52" s="141" t="s">
        <v>221</v>
      </c>
      <c r="M52" s="142"/>
      <c r="N52" s="142"/>
      <c r="O52" s="142"/>
      <c r="P52" s="142"/>
      <c r="Q52" s="143">
        <f>0.47*12*P43</f>
        <v>18617.64</v>
      </c>
      <c r="R52" s="144"/>
      <c r="S52" s="8" t="s">
        <v>222</v>
      </c>
    </row>
    <row r="53" spans="1:19" ht="13.5" customHeight="1" x14ac:dyDescent="0.25">
      <c r="A53" s="9"/>
      <c r="B53" s="145" t="s">
        <v>223</v>
      </c>
      <c r="C53" s="146"/>
      <c r="D53" s="146"/>
      <c r="E53" s="146"/>
      <c r="F53" s="146"/>
      <c r="G53" s="86">
        <f>1.89*12*F43</f>
        <v>13941.396000000001</v>
      </c>
      <c r="H53" s="147"/>
      <c r="I53" s="152" t="s">
        <v>224</v>
      </c>
      <c r="J53" s="56"/>
      <c r="K53" s="9"/>
      <c r="L53" s="145" t="s">
        <v>223</v>
      </c>
      <c r="M53" s="146"/>
      <c r="N53" s="146"/>
      <c r="O53" s="146"/>
      <c r="P53" s="146"/>
      <c r="Q53" s="86">
        <f>1.99*12*P43</f>
        <v>78827.87999999999</v>
      </c>
      <c r="R53" s="147"/>
      <c r="S53" s="152" t="s">
        <v>224</v>
      </c>
    </row>
    <row r="54" spans="1:19" ht="13.5" customHeight="1" x14ac:dyDescent="0.25">
      <c r="A54" s="10"/>
      <c r="B54" s="155" t="s">
        <v>226</v>
      </c>
      <c r="C54" s="156"/>
      <c r="D54" s="156"/>
      <c r="E54" s="156"/>
      <c r="F54" s="156"/>
      <c r="G54" s="148"/>
      <c r="H54" s="149"/>
      <c r="I54" s="153"/>
      <c r="J54" s="57"/>
      <c r="K54" s="10"/>
      <c r="L54" s="155" t="s">
        <v>226</v>
      </c>
      <c r="M54" s="156"/>
      <c r="N54" s="156"/>
      <c r="O54" s="156"/>
      <c r="P54" s="156"/>
      <c r="Q54" s="148"/>
      <c r="R54" s="149"/>
      <c r="S54" s="153"/>
    </row>
    <row r="55" spans="1:19" ht="13.5" customHeight="1" thickBot="1" x14ac:dyDescent="0.3">
      <c r="A55" s="10"/>
      <c r="B55" s="157" t="s">
        <v>227</v>
      </c>
      <c r="C55" s="158"/>
      <c r="D55" s="158"/>
      <c r="E55" s="158"/>
      <c r="F55" s="158"/>
      <c r="G55" s="148"/>
      <c r="H55" s="149"/>
      <c r="I55" s="154"/>
      <c r="J55" s="43"/>
      <c r="K55" s="10"/>
      <c r="L55" s="157" t="s">
        <v>227</v>
      </c>
      <c r="M55" s="158"/>
      <c r="N55" s="158"/>
      <c r="O55" s="158"/>
      <c r="P55" s="158"/>
      <c r="Q55" s="148"/>
      <c r="R55" s="149"/>
      <c r="S55" s="154"/>
    </row>
    <row r="56" spans="1:19" ht="13.5" customHeight="1" thickBot="1" x14ac:dyDescent="0.3">
      <c r="A56" s="10"/>
      <c r="B56" s="159" t="s">
        <v>228</v>
      </c>
      <c r="C56" s="160"/>
      <c r="D56" s="160"/>
      <c r="E56" s="160"/>
      <c r="F56" s="160"/>
      <c r="G56" s="150"/>
      <c r="H56" s="151"/>
      <c r="I56" s="11" t="s">
        <v>229</v>
      </c>
      <c r="J56" s="43"/>
      <c r="K56" s="10"/>
      <c r="L56" s="159" t="s">
        <v>228</v>
      </c>
      <c r="M56" s="160"/>
      <c r="N56" s="160"/>
      <c r="O56" s="160"/>
      <c r="P56" s="160"/>
      <c r="Q56" s="150"/>
      <c r="R56" s="151"/>
      <c r="S56" s="11" t="s">
        <v>229</v>
      </c>
    </row>
    <row r="57" spans="1:19" ht="13.5" customHeight="1" x14ac:dyDescent="0.25">
      <c r="A57" s="12"/>
      <c r="B57" s="125" t="s">
        <v>230</v>
      </c>
      <c r="C57" s="126"/>
      <c r="D57" s="126"/>
      <c r="E57" s="126"/>
      <c r="F57" s="126"/>
      <c r="G57" s="86"/>
      <c r="H57" s="87"/>
      <c r="I57" s="129" t="s">
        <v>220</v>
      </c>
      <c r="J57" s="43"/>
      <c r="K57" s="12"/>
      <c r="L57" s="125" t="s">
        <v>230</v>
      </c>
      <c r="M57" s="126"/>
      <c r="N57" s="126"/>
      <c r="O57" s="126"/>
      <c r="P57" s="126"/>
      <c r="Q57" s="86">
        <f>0.04*12*P43</f>
        <v>1584.48</v>
      </c>
      <c r="R57" s="87"/>
      <c r="S57" s="129" t="s">
        <v>220</v>
      </c>
    </row>
    <row r="58" spans="1:19" ht="13.5" customHeight="1" thickBot="1" x14ac:dyDescent="0.3">
      <c r="A58" s="7"/>
      <c r="B58" s="131" t="s">
        <v>231</v>
      </c>
      <c r="C58" s="132"/>
      <c r="D58" s="132"/>
      <c r="E58" s="132"/>
      <c r="F58" s="132"/>
      <c r="G58" s="127"/>
      <c r="H58" s="128"/>
      <c r="I58" s="130"/>
      <c r="J58" s="43"/>
      <c r="K58" s="7"/>
      <c r="L58" s="131" t="s">
        <v>231</v>
      </c>
      <c r="M58" s="132"/>
      <c r="N58" s="132"/>
      <c r="O58" s="132"/>
      <c r="P58" s="132"/>
      <c r="Q58" s="127"/>
      <c r="R58" s="128"/>
      <c r="S58" s="130"/>
    </row>
    <row r="59" spans="1:19" ht="15.75" customHeight="1" thickBot="1" x14ac:dyDescent="0.3">
      <c r="A59" s="13"/>
      <c r="B59" s="133" t="s">
        <v>232</v>
      </c>
      <c r="C59" s="134"/>
      <c r="D59" s="134"/>
      <c r="E59" s="134"/>
      <c r="F59" s="134"/>
      <c r="G59" s="135"/>
      <c r="H59" s="136"/>
      <c r="I59" s="14"/>
      <c r="J59" s="58"/>
      <c r="K59" s="13"/>
      <c r="L59" s="133" t="s">
        <v>232</v>
      </c>
      <c r="M59" s="134"/>
      <c r="N59" s="134"/>
      <c r="O59" s="134"/>
      <c r="P59" s="134"/>
      <c r="Q59" s="135"/>
      <c r="R59" s="136"/>
      <c r="S59" s="14"/>
    </row>
    <row r="60" spans="1:19" ht="15.75" customHeight="1" thickBot="1" x14ac:dyDescent="0.3">
      <c r="A60" s="13"/>
      <c r="B60" s="84" t="s">
        <v>233</v>
      </c>
      <c r="C60" s="85"/>
      <c r="D60" s="85"/>
      <c r="E60" s="85"/>
      <c r="F60" s="85"/>
      <c r="G60" s="86">
        <f>1.62*12*F43</f>
        <v>11949.768000000002</v>
      </c>
      <c r="H60" s="87"/>
      <c r="I60" s="320" t="s">
        <v>594</v>
      </c>
      <c r="J60" s="41"/>
      <c r="K60" s="13"/>
      <c r="L60" s="84" t="s">
        <v>233</v>
      </c>
      <c r="M60" s="85"/>
      <c r="N60" s="85"/>
      <c r="O60" s="85"/>
      <c r="P60" s="85"/>
      <c r="Q60" s="86">
        <f>1.42*12*P43</f>
        <v>56249.039999999994</v>
      </c>
      <c r="R60" s="87"/>
      <c r="S60" s="299" t="s">
        <v>595</v>
      </c>
    </row>
    <row r="61" spans="1:19" ht="27" customHeight="1" x14ac:dyDescent="0.25">
      <c r="A61" s="118"/>
      <c r="B61" s="121" t="s">
        <v>226</v>
      </c>
      <c r="C61" s="122"/>
      <c r="D61" s="122"/>
      <c r="E61" s="122"/>
      <c r="F61" s="122"/>
      <c r="G61" s="88"/>
      <c r="H61" s="89"/>
      <c r="I61" s="321"/>
      <c r="J61" s="41"/>
      <c r="K61" s="118"/>
      <c r="L61" s="121" t="s">
        <v>226</v>
      </c>
      <c r="M61" s="122"/>
      <c r="N61" s="122"/>
      <c r="O61" s="122"/>
      <c r="P61" s="122"/>
      <c r="Q61" s="88"/>
      <c r="R61" s="89"/>
      <c r="S61" s="300"/>
    </row>
    <row r="62" spans="1:19" ht="37.5" customHeight="1" x14ac:dyDescent="0.25">
      <c r="A62" s="119"/>
      <c r="B62" s="121" t="s">
        <v>227</v>
      </c>
      <c r="C62" s="122"/>
      <c r="D62" s="122"/>
      <c r="E62" s="122"/>
      <c r="F62" s="122"/>
      <c r="G62" s="88"/>
      <c r="H62" s="89"/>
      <c r="I62" s="321"/>
      <c r="J62" s="42"/>
      <c r="K62" s="119"/>
      <c r="L62" s="121" t="s">
        <v>227</v>
      </c>
      <c r="M62" s="122"/>
      <c r="N62" s="122"/>
      <c r="O62" s="122"/>
      <c r="P62" s="122"/>
      <c r="Q62" s="88"/>
      <c r="R62" s="89"/>
      <c r="S62" s="300"/>
    </row>
    <row r="63" spans="1:19" ht="36.6" customHeight="1" x14ac:dyDescent="0.25">
      <c r="A63" s="119"/>
      <c r="B63" s="121" t="s">
        <v>228</v>
      </c>
      <c r="C63" s="122"/>
      <c r="D63" s="122"/>
      <c r="E63" s="122"/>
      <c r="F63" s="122"/>
      <c r="G63" s="88"/>
      <c r="H63" s="89"/>
      <c r="I63" s="321"/>
      <c r="J63" s="43"/>
      <c r="K63" s="119"/>
      <c r="L63" s="121" t="s">
        <v>228</v>
      </c>
      <c r="M63" s="122"/>
      <c r="N63" s="122"/>
      <c r="O63" s="122"/>
      <c r="P63" s="122"/>
      <c r="Q63" s="88"/>
      <c r="R63" s="89"/>
      <c r="S63" s="300"/>
    </row>
    <row r="64" spans="1:19" ht="56.45" customHeight="1" thickBot="1" x14ac:dyDescent="0.3">
      <c r="A64" s="120"/>
      <c r="B64" s="123" t="s">
        <v>234</v>
      </c>
      <c r="C64" s="124"/>
      <c r="D64" s="124"/>
      <c r="E64" s="124"/>
      <c r="F64" s="124"/>
      <c r="G64" s="90"/>
      <c r="H64" s="91"/>
      <c r="I64" s="322"/>
      <c r="J64" s="59"/>
      <c r="K64" s="120"/>
      <c r="L64" s="123" t="s">
        <v>234</v>
      </c>
      <c r="M64" s="124"/>
      <c r="N64" s="124"/>
      <c r="O64" s="124"/>
      <c r="P64" s="124"/>
      <c r="Q64" s="90"/>
      <c r="R64" s="91"/>
      <c r="S64" s="301"/>
    </row>
    <row r="65" spans="1:19" ht="1.5" customHeight="1" thickBot="1" x14ac:dyDescent="0.3">
      <c r="A65" s="15"/>
      <c r="B65" s="137" t="s">
        <v>248</v>
      </c>
      <c r="C65" s="138"/>
      <c r="D65" s="138"/>
      <c r="E65" s="138"/>
      <c r="F65" s="138"/>
      <c r="G65" s="139"/>
      <c r="H65" s="140"/>
      <c r="I65" s="16"/>
      <c r="J65" s="58"/>
      <c r="K65" s="15"/>
      <c r="L65" s="137" t="s">
        <v>248</v>
      </c>
      <c r="M65" s="138"/>
      <c r="N65" s="138"/>
      <c r="O65" s="138"/>
      <c r="P65" s="138"/>
      <c r="Q65" s="139"/>
      <c r="R65" s="140"/>
      <c r="S65" s="16"/>
    </row>
    <row r="66" spans="1:19" ht="0.75" customHeight="1" thickBot="1" x14ac:dyDescent="0.3">
      <c r="A66" s="15"/>
      <c r="B66" s="137" t="s">
        <v>235</v>
      </c>
      <c r="C66" s="138"/>
      <c r="D66" s="138"/>
      <c r="E66" s="138"/>
      <c r="F66" s="138"/>
      <c r="G66" s="139"/>
      <c r="H66" s="140"/>
      <c r="I66" s="16"/>
      <c r="J66" s="45"/>
      <c r="K66" s="15"/>
      <c r="L66" s="137" t="s">
        <v>235</v>
      </c>
      <c r="M66" s="138"/>
      <c r="N66" s="138"/>
      <c r="O66" s="138"/>
      <c r="P66" s="138"/>
      <c r="Q66" s="139"/>
      <c r="R66" s="140"/>
      <c r="S66" s="16"/>
    </row>
    <row r="67" spans="1:19" ht="33" customHeight="1" thickBot="1" x14ac:dyDescent="0.3">
      <c r="A67" s="17"/>
      <c r="B67" s="78" t="s">
        <v>237</v>
      </c>
      <c r="C67" s="79"/>
      <c r="D67" s="79"/>
      <c r="E67" s="79"/>
      <c r="F67" s="79"/>
      <c r="G67" s="86">
        <v>7955</v>
      </c>
      <c r="H67" s="87"/>
      <c r="I67" s="108" t="s">
        <v>229</v>
      </c>
      <c r="J67" s="41"/>
      <c r="K67" s="17"/>
      <c r="L67" s="78" t="s">
        <v>237</v>
      </c>
      <c r="M67" s="79"/>
      <c r="N67" s="79"/>
      <c r="O67" s="79"/>
      <c r="P67" s="79"/>
      <c r="Q67" s="86">
        <v>15909</v>
      </c>
      <c r="R67" s="87"/>
      <c r="S67" s="108" t="s">
        <v>229</v>
      </c>
    </row>
    <row r="68" spans="1:19" ht="15.75" customHeight="1" thickBot="1" x14ac:dyDescent="0.3">
      <c r="A68" s="18"/>
      <c r="B68" s="110" t="s">
        <v>238</v>
      </c>
      <c r="C68" s="111"/>
      <c r="D68" s="111"/>
      <c r="E68" s="111"/>
      <c r="F68" s="111"/>
      <c r="G68" s="90"/>
      <c r="H68" s="91"/>
      <c r="I68" s="109"/>
      <c r="J68" s="41"/>
      <c r="K68" s="18"/>
      <c r="L68" s="110" t="s">
        <v>238</v>
      </c>
      <c r="M68" s="111"/>
      <c r="N68" s="111"/>
      <c r="O68" s="111"/>
      <c r="P68" s="111"/>
      <c r="Q68" s="90"/>
      <c r="R68" s="91"/>
      <c r="S68" s="109"/>
    </row>
    <row r="69" spans="1:19" ht="20.25" customHeight="1" thickBot="1" x14ac:dyDescent="0.3">
      <c r="A69" s="19"/>
      <c r="B69" s="112" t="s">
        <v>239</v>
      </c>
      <c r="C69" s="113"/>
      <c r="D69" s="113"/>
      <c r="E69" s="113"/>
      <c r="F69" s="113"/>
      <c r="G69" s="114">
        <f>SUM(G48:H68)</f>
        <v>46754.864000000001</v>
      </c>
      <c r="H69" s="115"/>
      <c r="I69" s="20"/>
      <c r="J69" s="60"/>
      <c r="K69" s="19"/>
      <c r="L69" s="112" t="s">
        <v>239</v>
      </c>
      <c r="M69" s="113"/>
      <c r="N69" s="113"/>
      <c r="O69" s="113"/>
      <c r="P69" s="113"/>
      <c r="Q69" s="114">
        <f>SUM(Q48:R68)</f>
        <v>237340.08000000002</v>
      </c>
      <c r="R69" s="115"/>
      <c r="S69" s="20"/>
    </row>
    <row r="70" spans="1:19" ht="15.75" customHeight="1" thickBot="1" x14ac:dyDescent="0.3">
      <c r="A70" s="21"/>
      <c r="B70" s="101" t="s">
        <v>240</v>
      </c>
      <c r="C70" s="102"/>
      <c r="D70" s="102"/>
      <c r="E70" s="102"/>
      <c r="F70" s="102"/>
      <c r="G70" s="116">
        <f>G69*1.2</f>
        <v>56105.836799999997</v>
      </c>
      <c r="H70" s="117"/>
      <c r="I70" s="22"/>
      <c r="J70" s="60"/>
      <c r="K70" s="21"/>
      <c r="L70" s="101" t="s">
        <v>240</v>
      </c>
      <c r="M70" s="102"/>
      <c r="N70" s="102"/>
      <c r="O70" s="102"/>
      <c r="P70" s="102"/>
      <c r="Q70" s="116">
        <f>Q69*1.2</f>
        <v>284808.09600000002</v>
      </c>
      <c r="R70" s="117"/>
      <c r="S70" s="22"/>
    </row>
    <row r="71" spans="1:19" ht="20.25" customHeight="1" thickBot="1" x14ac:dyDescent="0.3">
      <c r="A71" s="24"/>
      <c r="B71" s="96" t="s">
        <v>443</v>
      </c>
      <c r="C71" s="97"/>
      <c r="D71" s="97"/>
      <c r="E71" s="97"/>
      <c r="F71" s="97"/>
      <c r="G71" s="311">
        <v>56271.6</v>
      </c>
      <c r="H71" s="312"/>
      <c r="I71" s="313"/>
      <c r="J71" s="60"/>
      <c r="K71" s="24"/>
      <c r="L71" s="96" t="s">
        <v>443</v>
      </c>
      <c r="M71" s="97"/>
      <c r="N71" s="97"/>
      <c r="O71" s="97"/>
      <c r="P71" s="97"/>
      <c r="Q71" s="311">
        <v>285650.96000000002</v>
      </c>
      <c r="R71" s="312"/>
      <c r="S71" s="313"/>
    </row>
    <row r="72" spans="1:19" ht="20.25" customHeight="1" thickBot="1" x14ac:dyDescent="0.3">
      <c r="A72" s="19"/>
      <c r="B72" s="101" t="s">
        <v>242</v>
      </c>
      <c r="C72" s="102"/>
      <c r="D72" s="102"/>
      <c r="E72" s="102"/>
      <c r="F72" s="102"/>
      <c r="G72" s="307">
        <v>61679.56</v>
      </c>
      <c r="H72" s="308"/>
      <c r="I72" s="309"/>
      <c r="K72" s="19"/>
      <c r="L72" s="101" t="s">
        <v>242</v>
      </c>
      <c r="M72" s="102"/>
      <c r="N72" s="102"/>
      <c r="O72" s="102"/>
      <c r="P72" s="102"/>
      <c r="Q72" s="307">
        <v>295219.34999999998</v>
      </c>
      <c r="R72" s="308"/>
      <c r="S72" s="309"/>
    </row>
    <row r="73" spans="1:19" ht="20.25" customHeight="1" thickBot="1" x14ac:dyDescent="0.3">
      <c r="A73" s="19"/>
      <c r="B73" s="106" t="s">
        <v>444</v>
      </c>
      <c r="C73" s="107"/>
      <c r="D73" s="107"/>
      <c r="E73" s="107"/>
      <c r="F73" s="208"/>
      <c r="G73" s="307">
        <v>15759.6</v>
      </c>
      <c r="H73" s="308"/>
      <c r="I73" s="309"/>
      <c r="J73" s="61"/>
      <c r="K73" s="19"/>
      <c r="L73" s="106" t="s">
        <v>444</v>
      </c>
      <c r="M73" s="107"/>
      <c r="N73" s="107"/>
      <c r="O73" s="107"/>
      <c r="P73" s="208"/>
      <c r="Q73" s="343">
        <v>54971.33</v>
      </c>
      <c r="R73" s="344"/>
      <c r="S73" s="345"/>
    </row>
    <row r="74" spans="1:19" x14ac:dyDescent="0.25">
      <c r="A74" s="4"/>
      <c r="B74" s="26"/>
      <c r="C74" s="26"/>
      <c r="D74" s="26"/>
      <c r="E74" s="26"/>
      <c r="F74" s="26"/>
      <c r="G74" s="27"/>
      <c r="H74" s="3"/>
      <c r="I74" s="3"/>
      <c r="K74" s="4"/>
      <c r="L74" s="349"/>
      <c r="M74" s="349"/>
      <c r="N74" s="349"/>
      <c r="O74" s="349"/>
      <c r="P74" s="349"/>
      <c r="Q74" s="352"/>
      <c r="R74" s="352"/>
      <c r="S74" s="352"/>
    </row>
    <row r="75" spans="1:19" ht="15.75" x14ac:dyDescent="0.25">
      <c r="A75" s="30"/>
      <c r="C75" s="30"/>
      <c r="K75" s="30"/>
      <c r="N75" s="30"/>
    </row>
    <row r="76" spans="1:19" ht="15.75" x14ac:dyDescent="0.25">
      <c r="A76" s="30"/>
      <c r="C76" s="30"/>
      <c r="K76" s="30"/>
      <c r="N76" s="30"/>
    </row>
    <row r="77" spans="1:19" x14ac:dyDescent="0.25">
      <c r="A77" s="3"/>
      <c r="B77" s="3"/>
      <c r="C77" s="3"/>
      <c r="D77" s="3"/>
      <c r="E77" s="4" t="s">
        <v>204</v>
      </c>
      <c r="F77" s="3"/>
      <c r="G77" s="3"/>
      <c r="H77" s="3"/>
      <c r="I77" s="3"/>
      <c r="K77" s="3"/>
      <c r="L77" s="3"/>
      <c r="M77" s="3"/>
      <c r="N77" s="3"/>
      <c r="O77" s="4" t="s">
        <v>204</v>
      </c>
      <c r="P77" s="3"/>
      <c r="Q77" s="3"/>
      <c r="R77" s="3"/>
      <c r="S77" s="3"/>
    </row>
    <row r="78" spans="1:19" x14ac:dyDescent="0.25">
      <c r="A78" s="3" t="s">
        <v>205</v>
      </c>
      <c r="B78" s="3"/>
      <c r="C78" s="3"/>
      <c r="D78" s="3" t="s">
        <v>365</v>
      </c>
      <c r="E78" s="3"/>
      <c r="F78" s="3"/>
      <c r="G78" s="3"/>
      <c r="H78" s="3"/>
      <c r="I78" s="3"/>
      <c r="K78" s="3" t="s">
        <v>205</v>
      </c>
      <c r="L78" s="3"/>
      <c r="M78" s="3"/>
      <c r="N78" s="3" t="s">
        <v>366</v>
      </c>
      <c r="O78" s="3"/>
      <c r="P78" s="3"/>
      <c r="Q78" s="3"/>
      <c r="R78" s="3"/>
      <c r="S78" s="3"/>
    </row>
    <row r="79" spans="1:19" x14ac:dyDescent="0.25">
      <c r="A79" s="3"/>
      <c r="B79" s="5" t="s">
        <v>440</v>
      </c>
      <c r="C79" s="3"/>
      <c r="D79" s="3"/>
      <c r="E79" s="3"/>
      <c r="F79" s="3"/>
      <c r="G79" s="3"/>
      <c r="H79" s="3"/>
      <c r="I79" s="3"/>
      <c r="J79" s="3"/>
      <c r="K79" s="3"/>
      <c r="L79" s="5" t="s">
        <v>440</v>
      </c>
      <c r="M79" s="3"/>
      <c r="N79" s="3"/>
      <c r="O79" s="3"/>
      <c r="P79" s="3"/>
      <c r="Q79" s="3"/>
      <c r="R79" s="3"/>
      <c r="S79" s="3"/>
    </row>
    <row r="80" spans="1:19" ht="15" customHeight="1" thickBot="1" x14ac:dyDescent="0.3">
      <c r="A80" s="3"/>
      <c r="B80" s="5" t="s">
        <v>206</v>
      </c>
      <c r="C80" s="3"/>
      <c r="D80" s="3"/>
      <c r="E80" s="3"/>
      <c r="F80" s="3">
        <v>2173.5</v>
      </c>
      <c r="G80" s="3" t="s">
        <v>207</v>
      </c>
      <c r="H80" s="3"/>
      <c r="I80" s="3"/>
      <c r="J80" s="3"/>
      <c r="K80" s="3"/>
      <c r="L80" s="5" t="s">
        <v>206</v>
      </c>
      <c r="M80" s="3"/>
      <c r="N80" s="3"/>
      <c r="O80" s="3"/>
      <c r="P80" s="3">
        <v>2896</v>
      </c>
      <c r="Q80" s="3" t="s">
        <v>207</v>
      </c>
      <c r="R80" s="3"/>
      <c r="S80" s="3"/>
    </row>
    <row r="81" spans="1:19" ht="75" customHeight="1" x14ac:dyDescent="0.25">
      <c r="A81" s="175" t="s">
        <v>209</v>
      </c>
      <c r="B81" s="177" t="s">
        <v>210</v>
      </c>
      <c r="C81" s="178"/>
      <c r="D81" s="178"/>
      <c r="E81" s="178"/>
      <c r="F81" s="178"/>
      <c r="G81" s="180" t="s">
        <v>442</v>
      </c>
      <c r="H81" s="181"/>
      <c r="I81" s="175" t="s">
        <v>212</v>
      </c>
      <c r="J81" s="31"/>
      <c r="K81" s="175" t="s">
        <v>209</v>
      </c>
      <c r="L81" s="177" t="s">
        <v>210</v>
      </c>
      <c r="M81" s="178"/>
      <c r="N81" s="178"/>
      <c r="O81" s="178"/>
      <c r="P81" s="178"/>
      <c r="Q81" s="180" t="s">
        <v>442</v>
      </c>
      <c r="R81" s="181"/>
      <c r="S81" s="175" t="s">
        <v>212</v>
      </c>
    </row>
    <row r="82" spans="1:19" ht="15" customHeight="1" thickBot="1" x14ac:dyDescent="0.3">
      <c r="A82" s="176"/>
      <c r="B82" s="179"/>
      <c r="C82" s="179"/>
      <c r="D82" s="179"/>
      <c r="E82" s="179"/>
      <c r="F82" s="179"/>
      <c r="G82" s="182"/>
      <c r="H82" s="183"/>
      <c r="I82" s="184"/>
      <c r="J82" s="32"/>
      <c r="K82" s="176"/>
      <c r="L82" s="179"/>
      <c r="M82" s="179"/>
      <c r="N82" s="179"/>
      <c r="O82" s="179"/>
      <c r="P82" s="179"/>
      <c r="Q82" s="182"/>
      <c r="R82" s="183"/>
      <c r="S82" s="184"/>
    </row>
    <row r="83" spans="1:19" ht="5.25" customHeight="1" x14ac:dyDescent="0.25">
      <c r="A83" s="185" t="s">
        <v>213</v>
      </c>
      <c r="B83" s="187" t="s">
        <v>354</v>
      </c>
      <c r="C83" s="188"/>
      <c r="D83" s="188"/>
      <c r="E83" s="188"/>
      <c r="F83" s="188"/>
      <c r="G83" s="190">
        <v>87369.13</v>
      </c>
      <c r="H83" s="191"/>
      <c r="I83" s="192"/>
      <c r="J83" s="33"/>
      <c r="K83" s="185" t="s">
        <v>213</v>
      </c>
      <c r="L83" s="187" t="s">
        <v>354</v>
      </c>
      <c r="M83" s="188"/>
      <c r="N83" s="188"/>
      <c r="O83" s="188"/>
      <c r="P83" s="188"/>
      <c r="Q83" s="190">
        <v>160586.82</v>
      </c>
      <c r="R83" s="191"/>
      <c r="S83" s="192"/>
    </row>
    <row r="84" spans="1:19" ht="15" customHeight="1" thickBot="1" x14ac:dyDescent="0.3">
      <c r="A84" s="186"/>
      <c r="B84" s="189"/>
      <c r="C84" s="189"/>
      <c r="D84" s="189"/>
      <c r="E84" s="189"/>
      <c r="F84" s="189"/>
      <c r="G84" s="193"/>
      <c r="H84" s="194"/>
      <c r="I84" s="128"/>
      <c r="J84" s="34"/>
      <c r="K84" s="186"/>
      <c r="L84" s="189"/>
      <c r="M84" s="189"/>
      <c r="N84" s="189"/>
      <c r="O84" s="189"/>
      <c r="P84" s="189"/>
      <c r="Q84" s="193"/>
      <c r="R84" s="194"/>
      <c r="S84" s="128"/>
    </row>
    <row r="85" spans="1:19" ht="13.5" customHeight="1" x14ac:dyDescent="0.25">
      <c r="A85" s="6"/>
      <c r="B85" s="161" t="s">
        <v>214</v>
      </c>
      <c r="C85" s="162"/>
      <c r="D85" s="162"/>
      <c r="E85" s="162"/>
      <c r="F85" s="162"/>
      <c r="G85" s="163">
        <f>1.22*12*F80</f>
        <v>31820.04</v>
      </c>
      <c r="H85" s="164"/>
      <c r="I85" s="169" t="s">
        <v>215</v>
      </c>
      <c r="J85" s="35"/>
      <c r="K85" s="6"/>
      <c r="L85" s="161" t="s">
        <v>214</v>
      </c>
      <c r="M85" s="162"/>
      <c r="N85" s="162"/>
      <c r="O85" s="162"/>
      <c r="P85" s="162"/>
      <c r="Q85" s="163">
        <f>1.62*12*P80</f>
        <v>56298.240000000005</v>
      </c>
      <c r="R85" s="164"/>
      <c r="S85" s="169" t="s">
        <v>215</v>
      </c>
    </row>
    <row r="86" spans="1:19" ht="30" customHeight="1" thickBot="1" x14ac:dyDescent="0.3">
      <c r="A86" s="7"/>
      <c r="B86" s="171" t="s">
        <v>216</v>
      </c>
      <c r="C86" s="172"/>
      <c r="D86" s="172"/>
      <c r="E86" s="172"/>
      <c r="F86" s="172"/>
      <c r="G86" s="165"/>
      <c r="H86" s="166"/>
      <c r="I86" s="170"/>
      <c r="J86" s="36"/>
      <c r="K86" s="7"/>
      <c r="L86" s="171" t="s">
        <v>216</v>
      </c>
      <c r="M86" s="172"/>
      <c r="N86" s="172"/>
      <c r="O86" s="172"/>
      <c r="P86" s="172"/>
      <c r="Q86" s="165"/>
      <c r="R86" s="166"/>
      <c r="S86" s="170"/>
    </row>
    <row r="87" spans="1:19" ht="13.5" customHeight="1" thickBot="1" x14ac:dyDescent="0.3">
      <c r="A87" s="7"/>
      <c r="B87" s="173" t="s">
        <v>217</v>
      </c>
      <c r="C87" s="174"/>
      <c r="D87" s="174"/>
      <c r="E87" s="174"/>
      <c r="F87" s="174"/>
      <c r="G87" s="167"/>
      <c r="H87" s="168"/>
      <c r="I87" s="8" t="s">
        <v>218</v>
      </c>
      <c r="J87" s="36"/>
      <c r="K87" s="7"/>
      <c r="L87" s="173" t="s">
        <v>217</v>
      </c>
      <c r="M87" s="174"/>
      <c r="N87" s="174"/>
      <c r="O87" s="174"/>
      <c r="P87" s="174"/>
      <c r="Q87" s="167"/>
      <c r="R87" s="168"/>
      <c r="S87" s="8" t="s">
        <v>218</v>
      </c>
    </row>
    <row r="88" spans="1:19" ht="13.5" customHeight="1" thickBot="1" x14ac:dyDescent="0.3">
      <c r="A88" s="7"/>
      <c r="B88" s="141" t="s">
        <v>219</v>
      </c>
      <c r="C88" s="142"/>
      <c r="D88" s="142"/>
      <c r="E88" s="142"/>
      <c r="F88" s="142"/>
      <c r="G88" s="143">
        <v>0</v>
      </c>
      <c r="H88" s="144"/>
      <c r="I88" s="8" t="s">
        <v>220</v>
      </c>
      <c r="J88" s="37"/>
      <c r="K88" s="7"/>
      <c r="L88" s="141" t="s">
        <v>219</v>
      </c>
      <c r="M88" s="142"/>
      <c r="N88" s="142"/>
      <c r="O88" s="142"/>
      <c r="P88" s="142"/>
      <c r="Q88" s="143">
        <v>0</v>
      </c>
      <c r="R88" s="144"/>
      <c r="S88" s="8" t="s">
        <v>220</v>
      </c>
    </row>
    <row r="89" spans="1:19" ht="13.5" customHeight="1" thickBot="1" x14ac:dyDescent="0.3">
      <c r="A89" s="7"/>
      <c r="B89" s="141" t="s">
        <v>221</v>
      </c>
      <c r="C89" s="142"/>
      <c r="D89" s="142"/>
      <c r="E89" s="142"/>
      <c r="F89" s="142"/>
      <c r="G89" s="143">
        <f>0.3*12*F80</f>
        <v>7824.5999999999995</v>
      </c>
      <c r="H89" s="144"/>
      <c r="I89" s="8" t="s">
        <v>222</v>
      </c>
      <c r="J89" s="38"/>
      <c r="K89" s="7"/>
      <c r="L89" s="141" t="s">
        <v>221</v>
      </c>
      <c r="M89" s="142"/>
      <c r="N89" s="142"/>
      <c r="O89" s="142"/>
      <c r="P89" s="142"/>
      <c r="Q89" s="143">
        <f>0.3*12*P80</f>
        <v>10425.599999999999</v>
      </c>
      <c r="R89" s="144"/>
      <c r="S89" s="8" t="s">
        <v>222</v>
      </c>
    </row>
    <row r="90" spans="1:19" ht="13.5" customHeight="1" x14ac:dyDescent="0.25">
      <c r="A90" s="9"/>
      <c r="B90" s="145" t="s">
        <v>223</v>
      </c>
      <c r="C90" s="146"/>
      <c r="D90" s="146"/>
      <c r="E90" s="146"/>
      <c r="F90" s="146"/>
      <c r="G90" s="86">
        <f>1.63*12*F80</f>
        <v>42513.659999999996</v>
      </c>
      <c r="H90" s="147"/>
      <c r="I90" s="152" t="s">
        <v>224</v>
      </c>
      <c r="J90" s="38"/>
      <c r="K90" s="9"/>
      <c r="L90" s="145" t="s">
        <v>223</v>
      </c>
      <c r="M90" s="146"/>
      <c r="N90" s="146"/>
      <c r="O90" s="146"/>
      <c r="P90" s="146"/>
      <c r="Q90" s="86">
        <f>2*12*P80</f>
        <v>69504</v>
      </c>
      <c r="R90" s="147"/>
      <c r="S90" s="152" t="s">
        <v>224</v>
      </c>
    </row>
    <row r="91" spans="1:19" ht="13.5" customHeight="1" x14ac:dyDescent="0.25">
      <c r="A91" s="10"/>
      <c r="B91" s="155" t="s">
        <v>226</v>
      </c>
      <c r="C91" s="156"/>
      <c r="D91" s="156"/>
      <c r="E91" s="156"/>
      <c r="F91" s="156"/>
      <c r="G91" s="148"/>
      <c r="H91" s="149"/>
      <c r="I91" s="153"/>
      <c r="J91" s="39"/>
      <c r="K91" s="10"/>
      <c r="L91" s="155" t="s">
        <v>226</v>
      </c>
      <c r="M91" s="156"/>
      <c r="N91" s="156"/>
      <c r="O91" s="156"/>
      <c r="P91" s="156"/>
      <c r="Q91" s="148"/>
      <c r="R91" s="149"/>
      <c r="S91" s="153"/>
    </row>
    <row r="92" spans="1:19" ht="13.5" customHeight="1" thickBot="1" x14ac:dyDescent="0.3">
      <c r="A92" s="10"/>
      <c r="B92" s="157" t="s">
        <v>227</v>
      </c>
      <c r="C92" s="158"/>
      <c r="D92" s="158"/>
      <c r="E92" s="158"/>
      <c r="F92" s="158"/>
      <c r="G92" s="148"/>
      <c r="H92" s="149"/>
      <c r="I92" s="154"/>
      <c r="J92" s="36"/>
      <c r="K92" s="10"/>
      <c r="L92" s="157" t="s">
        <v>227</v>
      </c>
      <c r="M92" s="158"/>
      <c r="N92" s="158"/>
      <c r="O92" s="158"/>
      <c r="P92" s="158"/>
      <c r="Q92" s="148"/>
      <c r="R92" s="149"/>
      <c r="S92" s="154"/>
    </row>
    <row r="93" spans="1:19" ht="13.5" customHeight="1" thickBot="1" x14ac:dyDescent="0.3">
      <c r="A93" s="10"/>
      <c r="B93" s="159" t="s">
        <v>228</v>
      </c>
      <c r="C93" s="160"/>
      <c r="D93" s="160"/>
      <c r="E93" s="160"/>
      <c r="F93" s="160"/>
      <c r="G93" s="150"/>
      <c r="H93" s="151"/>
      <c r="I93" s="11" t="s">
        <v>229</v>
      </c>
      <c r="J93" s="36"/>
      <c r="K93" s="10"/>
      <c r="L93" s="159" t="s">
        <v>228</v>
      </c>
      <c r="M93" s="160"/>
      <c r="N93" s="160"/>
      <c r="O93" s="160"/>
      <c r="P93" s="160"/>
      <c r="Q93" s="150"/>
      <c r="R93" s="151"/>
      <c r="S93" s="11" t="s">
        <v>229</v>
      </c>
    </row>
    <row r="94" spans="1:19" ht="13.5" customHeight="1" x14ac:dyDescent="0.25">
      <c r="A94" s="12"/>
      <c r="B94" s="125" t="s">
        <v>230</v>
      </c>
      <c r="C94" s="126"/>
      <c r="D94" s="126"/>
      <c r="E94" s="126"/>
      <c r="F94" s="126"/>
      <c r="G94" s="86">
        <f>0.02*12*F80</f>
        <v>521.64</v>
      </c>
      <c r="H94" s="87"/>
      <c r="I94" s="129" t="s">
        <v>220</v>
      </c>
      <c r="J94" s="36"/>
      <c r="K94" s="12"/>
      <c r="L94" s="125" t="s">
        <v>230</v>
      </c>
      <c r="M94" s="126"/>
      <c r="N94" s="126"/>
      <c r="O94" s="126"/>
      <c r="P94" s="126"/>
      <c r="Q94" s="86">
        <f>0.02*12*P80</f>
        <v>695.04</v>
      </c>
      <c r="R94" s="87"/>
      <c r="S94" s="129" t="s">
        <v>220</v>
      </c>
    </row>
    <row r="95" spans="1:19" ht="13.5" customHeight="1" thickBot="1" x14ac:dyDescent="0.3">
      <c r="A95" s="7"/>
      <c r="B95" s="131" t="s">
        <v>231</v>
      </c>
      <c r="C95" s="132"/>
      <c r="D95" s="132"/>
      <c r="E95" s="132"/>
      <c r="F95" s="132"/>
      <c r="G95" s="127"/>
      <c r="H95" s="128"/>
      <c r="I95" s="130"/>
      <c r="J95" s="36"/>
      <c r="K95" s="7"/>
      <c r="L95" s="131" t="s">
        <v>231</v>
      </c>
      <c r="M95" s="132"/>
      <c r="N95" s="132"/>
      <c r="O95" s="132"/>
      <c r="P95" s="132"/>
      <c r="Q95" s="127"/>
      <c r="R95" s="128"/>
      <c r="S95" s="130"/>
    </row>
    <row r="96" spans="1:19" ht="15.75" customHeight="1" thickBot="1" x14ac:dyDescent="0.3">
      <c r="A96" s="13"/>
      <c r="B96" s="133" t="s">
        <v>232</v>
      </c>
      <c r="C96" s="134"/>
      <c r="D96" s="134"/>
      <c r="E96" s="134"/>
      <c r="F96" s="134"/>
      <c r="G96" s="135"/>
      <c r="H96" s="136"/>
      <c r="I96" s="14"/>
      <c r="J96" s="40"/>
      <c r="K96" s="13"/>
      <c r="L96" s="133" t="s">
        <v>232</v>
      </c>
      <c r="M96" s="134"/>
      <c r="N96" s="134"/>
      <c r="O96" s="134"/>
      <c r="P96" s="134"/>
      <c r="Q96" s="135"/>
      <c r="R96" s="136"/>
      <c r="S96" s="14"/>
    </row>
    <row r="97" spans="1:19" ht="15.75" customHeight="1" thickBot="1" x14ac:dyDescent="0.3">
      <c r="A97" s="13"/>
      <c r="B97" s="84" t="s">
        <v>233</v>
      </c>
      <c r="C97" s="85"/>
      <c r="D97" s="85"/>
      <c r="E97" s="85"/>
      <c r="F97" s="85"/>
      <c r="G97" s="86">
        <f>1.79*12*F80</f>
        <v>46686.78</v>
      </c>
      <c r="H97" s="87"/>
      <c r="I97" s="320" t="s">
        <v>596</v>
      </c>
      <c r="J97" s="41"/>
      <c r="K97" s="13"/>
      <c r="L97" s="84" t="s">
        <v>233</v>
      </c>
      <c r="M97" s="85"/>
      <c r="N97" s="85"/>
      <c r="O97" s="85"/>
      <c r="P97" s="85"/>
      <c r="Q97" s="86">
        <f>1.7*12*P80</f>
        <v>59078.399999999994</v>
      </c>
      <c r="R97" s="87"/>
      <c r="S97" s="299" t="s">
        <v>597</v>
      </c>
    </row>
    <row r="98" spans="1:19" ht="30.75" customHeight="1" x14ac:dyDescent="0.25">
      <c r="A98" s="118"/>
      <c r="B98" s="121" t="s">
        <v>226</v>
      </c>
      <c r="C98" s="122"/>
      <c r="D98" s="122"/>
      <c r="E98" s="122"/>
      <c r="F98" s="122"/>
      <c r="G98" s="88"/>
      <c r="H98" s="89"/>
      <c r="I98" s="321"/>
      <c r="J98" s="41"/>
      <c r="K98" s="118"/>
      <c r="L98" s="121" t="s">
        <v>226</v>
      </c>
      <c r="M98" s="122"/>
      <c r="N98" s="122"/>
      <c r="O98" s="122"/>
      <c r="P98" s="122"/>
      <c r="Q98" s="88"/>
      <c r="R98" s="89"/>
      <c r="S98" s="300"/>
    </row>
    <row r="99" spans="1:19" ht="31.5" customHeight="1" x14ac:dyDescent="0.25">
      <c r="A99" s="119"/>
      <c r="B99" s="121" t="s">
        <v>227</v>
      </c>
      <c r="C99" s="122"/>
      <c r="D99" s="122"/>
      <c r="E99" s="122"/>
      <c r="F99" s="122"/>
      <c r="G99" s="88"/>
      <c r="H99" s="89"/>
      <c r="I99" s="321"/>
      <c r="J99" s="41"/>
      <c r="K99" s="119"/>
      <c r="L99" s="121" t="s">
        <v>227</v>
      </c>
      <c r="M99" s="122"/>
      <c r="N99" s="122"/>
      <c r="O99" s="122"/>
      <c r="P99" s="122"/>
      <c r="Q99" s="88"/>
      <c r="R99" s="89"/>
      <c r="S99" s="300"/>
    </row>
    <row r="100" spans="1:19" ht="45" customHeight="1" x14ac:dyDescent="0.25">
      <c r="A100" s="119"/>
      <c r="B100" s="121" t="s">
        <v>228</v>
      </c>
      <c r="C100" s="122"/>
      <c r="D100" s="122"/>
      <c r="E100" s="122"/>
      <c r="F100" s="122"/>
      <c r="G100" s="88"/>
      <c r="H100" s="89"/>
      <c r="I100" s="321"/>
      <c r="J100" s="42"/>
      <c r="K100" s="119"/>
      <c r="L100" s="121" t="s">
        <v>228</v>
      </c>
      <c r="M100" s="122"/>
      <c r="N100" s="122"/>
      <c r="O100" s="122"/>
      <c r="P100" s="122"/>
      <c r="Q100" s="88"/>
      <c r="R100" s="89"/>
      <c r="S100" s="300"/>
    </row>
    <row r="101" spans="1:19" ht="78.599999999999994" customHeight="1" thickBot="1" x14ac:dyDescent="0.3">
      <c r="A101" s="120"/>
      <c r="B101" s="123" t="s">
        <v>234</v>
      </c>
      <c r="C101" s="124"/>
      <c r="D101" s="124"/>
      <c r="E101" s="124"/>
      <c r="F101" s="124"/>
      <c r="G101" s="90"/>
      <c r="H101" s="91"/>
      <c r="I101" s="322"/>
      <c r="J101" s="43"/>
      <c r="K101" s="120"/>
      <c r="L101" s="123" t="s">
        <v>234</v>
      </c>
      <c r="M101" s="124"/>
      <c r="N101" s="124"/>
      <c r="O101" s="124"/>
      <c r="P101" s="124"/>
      <c r="Q101" s="90"/>
      <c r="R101" s="91"/>
      <c r="S101" s="301"/>
    </row>
    <row r="102" spans="1:19" ht="0.75" customHeight="1" thickBot="1" x14ac:dyDescent="0.3">
      <c r="A102" s="15"/>
      <c r="B102" s="137" t="s">
        <v>248</v>
      </c>
      <c r="C102" s="138"/>
      <c r="D102" s="138"/>
      <c r="E102" s="138"/>
      <c r="F102" s="138"/>
      <c r="G102" s="139"/>
      <c r="H102" s="140"/>
      <c r="I102" s="16"/>
      <c r="J102" s="44"/>
      <c r="K102" s="15"/>
      <c r="L102" s="137" t="s">
        <v>248</v>
      </c>
      <c r="M102" s="138"/>
      <c r="N102" s="138"/>
      <c r="O102" s="138"/>
      <c r="P102" s="138"/>
      <c r="Q102" s="139"/>
      <c r="R102" s="140"/>
      <c r="S102" s="16"/>
    </row>
    <row r="103" spans="1:19" ht="2.25" customHeight="1" thickBot="1" x14ac:dyDescent="0.3">
      <c r="A103" s="15"/>
      <c r="B103" s="137" t="s">
        <v>235</v>
      </c>
      <c r="C103" s="138"/>
      <c r="D103" s="138"/>
      <c r="E103" s="138"/>
      <c r="F103" s="138"/>
      <c r="G103" s="139"/>
      <c r="H103" s="140"/>
      <c r="I103" s="16"/>
      <c r="J103" s="40"/>
      <c r="K103" s="15"/>
      <c r="L103" s="137" t="s">
        <v>235</v>
      </c>
      <c r="M103" s="138"/>
      <c r="N103" s="138"/>
      <c r="O103" s="138"/>
      <c r="P103" s="138"/>
      <c r="Q103" s="139"/>
      <c r="R103" s="140"/>
      <c r="S103" s="16"/>
    </row>
    <row r="104" spans="1:19" ht="33" customHeight="1" thickBot="1" x14ac:dyDescent="0.3">
      <c r="A104" s="17"/>
      <c r="B104" s="78" t="s">
        <v>237</v>
      </c>
      <c r="C104" s="79"/>
      <c r="D104" s="79"/>
      <c r="E104" s="79"/>
      <c r="F104" s="79"/>
      <c r="G104" s="86">
        <v>24799</v>
      </c>
      <c r="H104" s="87"/>
      <c r="I104" s="108" t="s">
        <v>229</v>
      </c>
      <c r="J104" s="27"/>
      <c r="K104" s="17"/>
      <c r="L104" s="78" t="s">
        <v>237</v>
      </c>
      <c r="M104" s="79"/>
      <c r="N104" s="79"/>
      <c r="O104" s="79"/>
      <c r="P104" s="79"/>
      <c r="Q104" s="86">
        <v>3822</v>
      </c>
      <c r="R104" s="87"/>
      <c r="S104" s="108" t="s">
        <v>229</v>
      </c>
    </row>
    <row r="105" spans="1:19" ht="18.75" customHeight="1" thickBot="1" x14ac:dyDescent="0.3">
      <c r="A105" s="18"/>
      <c r="B105" s="110" t="s">
        <v>238</v>
      </c>
      <c r="C105" s="111"/>
      <c r="D105" s="111"/>
      <c r="E105" s="111"/>
      <c r="F105" s="111"/>
      <c r="G105" s="90"/>
      <c r="H105" s="91"/>
      <c r="I105" s="109"/>
      <c r="J105" s="45"/>
      <c r="K105" s="18"/>
      <c r="L105" s="110" t="s">
        <v>238</v>
      </c>
      <c r="M105" s="111"/>
      <c r="N105" s="111"/>
      <c r="O105" s="111"/>
      <c r="P105" s="111"/>
      <c r="Q105" s="90"/>
      <c r="R105" s="91"/>
      <c r="S105" s="109"/>
    </row>
    <row r="106" spans="1:19" ht="21.75" customHeight="1" thickBot="1" x14ac:dyDescent="0.3">
      <c r="A106" s="19"/>
      <c r="B106" s="112" t="s">
        <v>239</v>
      </c>
      <c r="C106" s="113"/>
      <c r="D106" s="113"/>
      <c r="E106" s="113"/>
      <c r="F106" s="113"/>
      <c r="G106" s="114">
        <f>SUM(G85:H105)</f>
        <v>154165.71999999997</v>
      </c>
      <c r="H106" s="115"/>
      <c r="I106" s="20"/>
      <c r="J106" s="46"/>
      <c r="K106" s="19"/>
      <c r="L106" s="112" t="s">
        <v>239</v>
      </c>
      <c r="M106" s="113"/>
      <c r="N106" s="113"/>
      <c r="O106" s="113"/>
      <c r="P106" s="113"/>
      <c r="Q106" s="114">
        <f>SUM(Q85:R105)</f>
        <v>199823.28</v>
      </c>
      <c r="R106" s="115"/>
      <c r="S106" s="20"/>
    </row>
    <row r="107" spans="1:19" ht="21.75" customHeight="1" thickBot="1" x14ac:dyDescent="0.3">
      <c r="A107" s="21"/>
      <c r="B107" s="101" t="s">
        <v>240</v>
      </c>
      <c r="C107" s="102"/>
      <c r="D107" s="102"/>
      <c r="E107" s="102"/>
      <c r="F107" s="102"/>
      <c r="G107" s="116">
        <f>G106*1.2</f>
        <v>184998.86399999997</v>
      </c>
      <c r="H107" s="117"/>
      <c r="I107" s="22"/>
      <c r="J107" s="47"/>
      <c r="K107" s="21"/>
      <c r="L107" s="101" t="s">
        <v>240</v>
      </c>
      <c r="M107" s="102"/>
      <c r="N107" s="102"/>
      <c r="O107" s="102"/>
      <c r="P107" s="102"/>
      <c r="Q107" s="116">
        <f>Q106*1.2</f>
        <v>239787.93599999999</v>
      </c>
      <c r="R107" s="117"/>
      <c r="S107" s="22"/>
    </row>
    <row r="108" spans="1:19" ht="21.75" customHeight="1" thickBot="1" x14ac:dyDescent="0.3">
      <c r="A108" s="24"/>
      <c r="B108" s="96" t="s">
        <v>443</v>
      </c>
      <c r="C108" s="97"/>
      <c r="D108" s="97"/>
      <c r="E108" s="97"/>
      <c r="F108" s="97"/>
      <c r="G108" s="311">
        <v>184106.6</v>
      </c>
      <c r="H108" s="312"/>
      <c r="I108" s="313"/>
      <c r="J108" s="47"/>
      <c r="K108" s="24"/>
      <c r="L108" s="96" t="s">
        <v>443</v>
      </c>
      <c r="M108" s="97"/>
      <c r="N108" s="97"/>
      <c r="O108" s="97"/>
      <c r="P108" s="97"/>
      <c r="Q108" s="311">
        <v>238999.76</v>
      </c>
      <c r="R108" s="312"/>
      <c r="S108" s="313"/>
    </row>
    <row r="109" spans="1:19" ht="21.75" customHeight="1" thickBot="1" x14ac:dyDescent="0.3">
      <c r="A109" s="19"/>
      <c r="B109" s="101" t="s">
        <v>242</v>
      </c>
      <c r="C109" s="102"/>
      <c r="D109" s="102"/>
      <c r="E109" s="102"/>
      <c r="F109" s="102"/>
      <c r="G109" s="307">
        <v>199179.18</v>
      </c>
      <c r="H109" s="308"/>
      <c r="I109" s="309"/>
      <c r="J109" s="47"/>
      <c r="K109" s="19"/>
      <c r="L109" s="101" t="s">
        <v>242</v>
      </c>
      <c r="M109" s="102"/>
      <c r="N109" s="102"/>
      <c r="O109" s="102"/>
      <c r="P109" s="102"/>
      <c r="Q109" s="307">
        <v>267490.09000000003</v>
      </c>
      <c r="R109" s="308"/>
      <c r="S109" s="309"/>
    </row>
    <row r="110" spans="1:19" ht="21.75" customHeight="1" thickBot="1" x14ac:dyDescent="0.3">
      <c r="A110" s="19"/>
      <c r="B110" s="106" t="s">
        <v>444</v>
      </c>
      <c r="C110" s="107"/>
      <c r="D110" s="107"/>
      <c r="E110" s="107"/>
      <c r="F110" s="208"/>
      <c r="G110" s="307">
        <v>72296.55</v>
      </c>
      <c r="H110" s="308"/>
      <c r="I110" s="309"/>
      <c r="J110" s="47"/>
      <c r="K110" s="19"/>
      <c r="L110" s="106" t="s">
        <v>444</v>
      </c>
      <c r="M110" s="107"/>
      <c r="N110" s="107"/>
      <c r="O110" s="107"/>
      <c r="P110" s="208"/>
      <c r="Q110" s="307">
        <v>132096.49</v>
      </c>
      <c r="R110" s="308"/>
      <c r="S110" s="309"/>
    </row>
    <row r="111" spans="1:19" ht="15.75" x14ac:dyDescent="0.25">
      <c r="B111" s="30"/>
      <c r="K111" s="30"/>
      <c r="L111" s="30"/>
    </row>
    <row r="112" spans="1:19" ht="15.75" x14ac:dyDescent="0.25">
      <c r="B112" s="30"/>
      <c r="K112" s="30"/>
      <c r="L112" s="30"/>
    </row>
    <row r="113" spans="1:19" x14ac:dyDescent="0.25">
      <c r="A113" s="3"/>
      <c r="B113" s="3"/>
      <c r="C113" s="3"/>
      <c r="D113" s="3"/>
      <c r="E113" s="4" t="s">
        <v>204</v>
      </c>
      <c r="F113" s="3"/>
      <c r="G113" s="3"/>
      <c r="H113" s="3"/>
      <c r="I113" s="3"/>
      <c r="K113" s="3"/>
      <c r="L113" s="3"/>
      <c r="M113" s="3"/>
      <c r="N113" s="3"/>
      <c r="O113" s="4" t="s">
        <v>204</v>
      </c>
      <c r="P113" s="3"/>
      <c r="Q113" s="3"/>
      <c r="R113" s="3"/>
      <c r="S113" s="3"/>
    </row>
    <row r="114" spans="1:19" x14ac:dyDescent="0.25">
      <c r="A114" s="3" t="s">
        <v>205</v>
      </c>
      <c r="B114" s="3"/>
      <c r="C114" s="3"/>
      <c r="D114" s="3" t="s">
        <v>367</v>
      </c>
      <c r="E114" s="3"/>
      <c r="F114" s="3"/>
      <c r="G114" s="3"/>
      <c r="H114" s="3"/>
      <c r="I114" s="3"/>
      <c r="K114" s="3" t="s">
        <v>205</v>
      </c>
      <c r="L114" s="3"/>
      <c r="M114" s="3"/>
      <c r="N114" s="3" t="s">
        <v>368</v>
      </c>
      <c r="O114" s="3"/>
      <c r="P114" s="3"/>
      <c r="Q114" s="3"/>
      <c r="R114" s="3"/>
      <c r="S114" s="3"/>
    </row>
    <row r="115" spans="1:19" ht="15.75" customHeight="1" x14ac:dyDescent="0.25">
      <c r="A115" s="3"/>
      <c r="B115" s="5" t="s">
        <v>440</v>
      </c>
      <c r="C115" s="3"/>
      <c r="D115" s="3"/>
      <c r="E115" s="3"/>
      <c r="F115" s="3"/>
      <c r="G115" s="3"/>
      <c r="H115" s="3"/>
      <c r="I115" s="3"/>
      <c r="K115" s="3"/>
      <c r="L115" s="5" t="s">
        <v>440</v>
      </c>
      <c r="M115" s="3"/>
      <c r="N115" s="3"/>
      <c r="O115" s="3"/>
      <c r="P115" s="3"/>
      <c r="Q115" s="3"/>
      <c r="R115" s="3"/>
      <c r="S115" s="3"/>
    </row>
    <row r="116" spans="1:19" ht="19.5" customHeight="1" thickBot="1" x14ac:dyDescent="0.3">
      <c r="A116" s="3"/>
      <c r="B116" s="5" t="s">
        <v>206</v>
      </c>
      <c r="C116" s="3"/>
      <c r="D116" s="3"/>
      <c r="E116" s="3"/>
      <c r="F116" s="3">
        <v>2171.8000000000002</v>
      </c>
      <c r="G116" s="3" t="s">
        <v>207</v>
      </c>
      <c r="H116" s="3"/>
      <c r="I116" s="3"/>
      <c r="J116" s="3"/>
      <c r="K116" s="3"/>
      <c r="L116" s="5" t="s">
        <v>206</v>
      </c>
      <c r="M116" s="3"/>
      <c r="N116" s="3"/>
      <c r="O116" s="3"/>
      <c r="P116" s="3">
        <v>2566</v>
      </c>
      <c r="Q116" s="3" t="s">
        <v>207</v>
      </c>
      <c r="R116" s="3"/>
      <c r="S116" s="3"/>
    </row>
    <row r="117" spans="1:19" ht="57" customHeight="1" thickBot="1" x14ac:dyDescent="0.3">
      <c r="A117" s="175" t="s">
        <v>209</v>
      </c>
      <c r="B117" s="177" t="s">
        <v>210</v>
      </c>
      <c r="C117" s="178"/>
      <c r="D117" s="178"/>
      <c r="E117" s="178"/>
      <c r="F117" s="178"/>
      <c r="G117" s="180" t="s">
        <v>442</v>
      </c>
      <c r="H117" s="181"/>
      <c r="I117" s="175" t="s">
        <v>212</v>
      </c>
      <c r="J117" s="3"/>
      <c r="K117" s="175" t="s">
        <v>209</v>
      </c>
      <c r="L117" s="177" t="s">
        <v>210</v>
      </c>
      <c r="M117" s="178"/>
      <c r="N117" s="178"/>
      <c r="O117" s="178"/>
      <c r="P117" s="178"/>
      <c r="Q117" s="180" t="s">
        <v>442</v>
      </c>
      <c r="R117" s="181"/>
      <c r="S117" s="175" t="s">
        <v>212</v>
      </c>
    </row>
    <row r="118" spans="1:19" ht="15.75" hidden="1" customHeight="1" x14ac:dyDescent="0.25">
      <c r="A118" s="176"/>
      <c r="B118" s="179"/>
      <c r="C118" s="179"/>
      <c r="D118" s="179"/>
      <c r="E118" s="179"/>
      <c r="F118" s="179"/>
      <c r="G118" s="182"/>
      <c r="H118" s="183"/>
      <c r="I118" s="184"/>
      <c r="J118" s="31"/>
      <c r="K118" s="176"/>
      <c r="L118" s="179"/>
      <c r="M118" s="179"/>
      <c r="N118" s="179"/>
      <c r="O118" s="179"/>
      <c r="P118" s="179"/>
      <c r="Q118" s="182"/>
      <c r="R118" s="183"/>
      <c r="S118" s="184"/>
    </row>
    <row r="119" spans="1:19" ht="16.5" customHeight="1" thickBot="1" x14ac:dyDescent="0.3">
      <c r="A119" s="185" t="s">
        <v>213</v>
      </c>
      <c r="B119" s="187" t="s">
        <v>354</v>
      </c>
      <c r="C119" s="188"/>
      <c r="D119" s="188"/>
      <c r="E119" s="188"/>
      <c r="F119" s="188"/>
      <c r="G119" s="190">
        <v>22559.96</v>
      </c>
      <c r="H119" s="191"/>
      <c r="I119" s="192"/>
      <c r="J119" s="32"/>
      <c r="K119" s="185" t="s">
        <v>213</v>
      </c>
      <c r="L119" s="187" t="s">
        <v>354</v>
      </c>
      <c r="M119" s="188"/>
      <c r="N119" s="188"/>
      <c r="O119" s="188"/>
      <c r="P119" s="188"/>
      <c r="Q119" s="190">
        <v>40083.07</v>
      </c>
      <c r="R119" s="191"/>
      <c r="S119" s="192"/>
    </row>
    <row r="120" spans="1:19" ht="13.5" customHeight="1" thickBot="1" x14ac:dyDescent="0.3">
      <c r="A120" s="186"/>
      <c r="B120" s="189"/>
      <c r="C120" s="189"/>
      <c r="D120" s="189"/>
      <c r="E120" s="189"/>
      <c r="F120" s="189"/>
      <c r="G120" s="193"/>
      <c r="H120" s="194"/>
      <c r="I120" s="128"/>
      <c r="J120" s="33"/>
      <c r="K120" s="186"/>
      <c r="L120" s="189"/>
      <c r="M120" s="189"/>
      <c r="N120" s="189"/>
      <c r="O120" s="189"/>
      <c r="P120" s="189"/>
      <c r="Q120" s="193"/>
      <c r="R120" s="194"/>
      <c r="S120" s="128"/>
    </row>
    <row r="121" spans="1:19" ht="13.5" customHeight="1" x14ac:dyDescent="0.25">
      <c r="A121" s="6"/>
      <c r="B121" s="161" t="s">
        <v>214</v>
      </c>
      <c r="C121" s="162"/>
      <c r="D121" s="162"/>
      <c r="E121" s="162"/>
      <c r="F121" s="162"/>
      <c r="G121" s="163">
        <f>1.32*12*F116</f>
        <v>34401.312000000005</v>
      </c>
      <c r="H121" s="164"/>
      <c r="I121" s="169" t="s">
        <v>215</v>
      </c>
      <c r="J121" s="36"/>
      <c r="K121" s="6"/>
      <c r="L121" s="161" t="s">
        <v>214</v>
      </c>
      <c r="M121" s="162"/>
      <c r="N121" s="162"/>
      <c r="O121" s="162"/>
      <c r="P121" s="162"/>
      <c r="Q121" s="163">
        <f>1.49*12*P116</f>
        <v>45880.079999999994</v>
      </c>
      <c r="R121" s="164"/>
      <c r="S121" s="169" t="s">
        <v>215</v>
      </c>
    </row>
    <row r="122" spans="1:19" ht="27" customHeight="1" thickBot="1" x14ac:dyDescent="0.3">
      <c r="A122" s="7"/>
      <c r="B122" s="171" t="s">
        <v>216</v>
      </c>
      <c r="C122" s="172"/>
      <c r="D122" s="172"/>
      <c r="E122" s="172"/>
      <c r="F122" s="172"/>
      <c r="G122" s="165"/>
      <c r="H122" s="166"/>
      <c r="I122" s="170"/>
      <c r="J122" s="35"/>
      <c r="K122" s="7"/>
      <c r="L122" s="171" t="s">
        <v>216</v>
      </c>
      <c r="M122" s="172"/>
      <c r="N122" s="172"/>
      <c r="O122" s="172"/>
      <c r="P122" s="172"/>
      <c r="Q122" s="165"/>
      <c r="R122" s="166"/>
      <c r="S122" s="170"/>
    </row>
    <row r="123" spans="1:19" ht="13.5" customHeight="1" thickBot="1" x14ac:dyDescent="0.3">
      <c r="A123" s="7"/>
      <c r="B123" s="173" t="s">
        <v>217</v>
      </c>
      <c r="C123" s="174"/>
      <c r="D123" s="174"/>
      <c r="E123" s="174"/>
      <c r="F123" s="174"/>
      <c r="G123" s="167"/>
      <c r="H123" s="168"/>
      <c r="I123" s="8" t="s">
        <v>218</v>
      </c>
      <c r="J123" s="36"/>
      <c r="K123" s="7"/>
      <c r="L123" s="173" t="s">
        <v>217</v>
      </c>
      <c r="M123" s="174"/>
      <c r="N123" s="174"/>
      <c r="O123" s="174"/>
      <c r="P123" s="174"/>
      <c r="Q123" s="167"/>
      <c r="R123" s="168"/>
      <c r="S123" s="8" t="s">
        <v>218</v>
      </c>
    </row>
    <row r="124" spans="1:19" ht="13.5" customHeight="1" thickBot="1" x14ac:dyDescent="0.3">
      <c r="A124" s="7"/>
      <c r="B124" s="141" t="s">
        <v>219</v>
      </c>
      <c r="C124" s="142"/>
      <c r="D124" s="142"/>
      <c r="E124" s="142"/>
      <c r="F124" s="142"/>
      <c r="G124" s="143"/>
      <c r="H124" s="144"/>
      <c r="I124" s="8" t="s">
        <v>220</v>
      </c>
      <c r="J124" s="36"/>
      <c r="K124" s="7"/>
      <c r="L124" s="141" t="s">
        <v>219</v>
      </c>
      <c r="M124" s="142"/>
      <c r="N124" s="142"/>
      <c r="O124" s="142"/>
      <c r="P124" s="142"/>
      <c r="Q124" s="143">
        <v>0</v>
      </c>
      <c r="R124" s="144"/>
      <c r="S124" s="8" t="s">
        <v>220</v>
      </c>
    </row>
    <row r="125" spans="1:19" ht="13.5" customHeight="1" thickBot="1" x14ac:dyDescent="0.3">
      <c r="A125" s="7"/>
      <c r="B125" s="141" t="s">
        <v>221</v>
      </c>
      <c r="C125" s="142"/>
      <c r="D125" s="142"/>
      <c r="E125" s="142"/>
      <c r="F125" s="142"/>
      <c r="G125" s="143">
        <f>0.47*12*F116</f>
        <v>12248.952000000001</v>
      </c>
      <c r="H125" s="144"/>
      <c r="I125" s="8" t="s">
        <v>222</v>
      </c>
      <c r="J125" s="37"/>
      <c r="K125" s="7"/>
      <c r="L125" s="141" t="s">
        <v>221</v>
      </c>
      <c r="M125" s="142"/>
      <c r="N125" s="142"/>
      <c r="O125" s="142"/>
      <c r="P125" s="142"/>
      <c r="Q125" s="143">
        <f>0.3*12*P116</f>
        <v>9237.5999999999985</v>
      </c>
      <c r="R125" s="144"/>
      <c r="S125" s="8" t="s">
        <v>222</v>
      </c>
    </row>
    <row r="126" spans="1:19" ht="13.5" customHeight="1" x14ac:dyDescent="0.25">
      <c r="A126" s="9"/>
      <c r="B126" s="145" t="s">
        <v>223</v>
      </c>
      <c r="C126" s="146"/>
      <c r="D126" s="146"/>
      <c r="E126" s="146"/>
      <c r="F126" s="146"/>
      <c r="G126" s="86">
        <f>1.77*12*F116</f>
        <v>46129.032000000007</v>
      </c>
      <c r="H126" s="147"/>
      <c r="I126" s="152" t="s">
        <v>224</v>
      </c>
      <c r="J126" s="38"/>
      <c r="K126" s="9"/>
      <c r="L126" s="145" t="s">
        <v>223</v>
      </c>
      <c r="M126" s="146"/>
      <c r="N126" s="146"/>
      <c r="O126" s="146"/>
      <c r="P126" s="146"/>
      <c r="Q126" s="86">
        <f>1.99*12*P116</f>
        <v>61276.079999999994</v>
      </c>
      <c r="R126" s="147"/>
      <c r="S126" s="152" t="s">
        <v>224</v>
      </c>
    </row>
    <row r="127" spans="1:19" ht="13.5" customHeight="1" x14ac:dyDescent="0.25">
      <c r="A127" s="10"/>
      <c r="B127" s="155" t="s">
        <v>226</v>
      </c>
      <c r="C127" s="156"/>
      <c r="D127" s="156"/>
      <c r="E127" s="156"/>
      <c r="F127" s="156"/>
      <c r="G127" s="148"/>
      <c r="H127" s="149"/>
      <c r="I127" s="153"/>
      <c r="J127" s="38"/>
      <c r="K127" s="10"/>
      <c r="L127" s="155" t="s">
        <v>226</v>
      </c>
      <c r="M127" s="156"/>
      <c r="N127" s="156"/>
      <c r="O127" s="156"/>
      <c r="P127" s="156"/>
      <c r="Q127" s="148"/>
      <c r="R127" s="149"/>
      <c r="S127" s="153"/>
    </row>
    <row r="128" spans="1:19" ht="13.5" customHeight="1" thickBot="1" x14ac:dyDescent="0.3">
      <c r="A128" s="10"/>
      <c r="B128" s="157" t="s">
        <v>227</v>
      </c>
      <c r="C128" s="158"/>
      <c r="D128" s="158"/>
      <c r="E128" s="158"/>
      <c r="F128" s="158"/>
      <c r="G128" s="148"/>
      <c r="H128" s="149"/>
      <c r="I128" s="154"/>
      <c r="J128" s="39"/>
      <c r="K128" s="10"/>
      <c r="L128" s="157" t="s">
        <v>227</v>
      </c>
      <c r="M128" s="158"/>
      <c r="N128" s="158"/>
      <c r="O128" s="158"/>
      <c r="P128" s="158"/>
      <c r="Q128" s="148"/>
      <c r="R128" s="149"/>
      <c r="S128" s="154"/>
    </row>
    <row r="129" spans="1:19" ht="13.5" customHeight="1" thickBot="1" x14ac:dyDescent="0.3">
      <c r="A129" s="10"/>
      <c r="B129" s="159" t="s">
        <v>228</v>
      </c>
      <c r="C129" s="160"/>
      <c r="D129" s="160"/>
      <c r="E129" s="160"/>
      <c r="F129" s="160"/>
      <c r="G129" s="150"/>
      <c r="H129" s="151"/>
      <c r="I129" s="11" t="s">
        <v>229</v>
      </c>
      <c r="J129" s="36"/>
      <c r="K129" s="10"/>
      <c r="L129" s="159" t="s">
        <v>228</v>
      </c>
      <c r="M129" s="160"/>
      <c r="N129" s="160"/>
      <c r="O129" s="160"/>
      <c r="P129" s="160"/>
      <c r="Q129" s="150"/>
      <c r="R129" s="151"/>
      <c r="S129" s="11" t="s">
        <v>229</v>
      </c>
    </row>
    <row r="130" spans="1:19" ht="15.75" customHeight="1" x14ac:dyDescent="0.25">
      <c r="A130" s="12"/>
      <c r="B130" s="125" t="s">
        <v>230</v>
      </c>
      <c r="C130" s="126"/>
      <c r="D130" s="126"/>
      <c r="E130" s="126"/>
      <c r="F130" s="126"/>
      <c r="G130" s="86">
        <f>0.02*12*F116</f>
        <v>521.23199999999997</v>
      </c>
      <c r="H130" s="87"/>
      <c r="I130" s="129" t="s">
        <v>220</v>
      </c>
      <c r="J130" s="36"/>
      <c r="K130" s="12"/>
      <c r="L130" s="125" t="s">
        <v>230</v>
      </c>
      <c r="M130" s="126"/>
      <c r="N130" s="126"/>
      <c r="O130" s="126"/>
      <c r="P130" s="126"/>
      <c r="Q130" s="86">
        <f>0.02*12*P116</f>
        <v>615.84</v>
      </c>
      <c r="R130" s="87"/>
      <c r="S130" s="129" t="s">
        <v>220</v>
      </c>
    </row>
    <row r="131" spans="1:19" ht="15.75" customHeight="1" thickBot="1" x14ac:dyDescent="0.3">
      <c r="A131" s="7"/>
      <c r="B131" s="131" t="s">
        <v>231</v>
      </c>
      <c r="C131" s="132"/>
      <c r="D131" s="132"/>
      <c r="E131" s="132"/>
      <c r="F131" s="132"/>
      <c r="G131" s="127"/>
      <c r="H131" s="128"/>
      <c r="I131" s="130"/>
      <c r="J131" s="36"/>
      <c r="K131" s="7"/>
      <c r="L131" s="131" t="s">
        <v>231</v>
      </c>
      <c r="M131" s="132"/>
      <c r="N131" s="132"/>
      <c r="O131" s="132"/>
      <c r="P131" s="132"/>
      <c r="Q131" s="127"/>
      <c r="R131" s="128"/>
      <c r="S131" s="130"/>
    </row>
    <row r="132" spans="1:19" ht="15.75" customHeight="1" thickBot="1" x14ac:dyDescent="0.3">
      <c r="A132" s="13"/>
      <c r="B132" s="133" t="s">
        <v>232</v>
      </c>
      <c r="C132" s="134"/>
      <c r="D132" s="134"/>
      <c r="E132" s="134"/>
      <c r="F132" s="134"/>
      <c r="G132" s="135"/>
      <c r="H132" s="136"/>
      <c r="I132" s="14"/>
      <c r="J132" s="36"/>
      <c r="K132" s="13"/>
      <c r="L132" s="133" t="s">
        <v>232</v>
      </c>
      <c r="M132" s="134"/>
      <c r="N132" s="134"/>
      <c r="O132" s="134"/>
      <c r="P132" s="134"/>
      <c r="Q132" s="135"/>
      <c r="R132" s="136"/>
      <c r="S132" s="14"/>
    </row>
    <row r="133" spans="1:19" ht="15.75" thickBot="1" x14ac:dyDescent="0.3">
      <c r="A133" s="13"/>
      <c r="B133" s="84" t="s">
        <v>233</v>
      </c>
      <c r="C133" s="85"/>
      <c r="D133" s="85"/>
      <c r="E133" s="85"/>
      <c r="F133" s="85"/>
      <c r="G133" s="86">
        <f>1.31*12*F116</f>
        <v>34140.696000000004</v>
      </c>
      <c r="H133" s="87"/>
      <c r="I133" s="299" t="s">
        <v>598</v>
      </c>
      <c r="J133" s="41"/>
      <c r="K133" s="13"/>
      <c r="L133" s="84" t="s">
        <v>233</v>
      </c>
      <c r="M133" s="85"/>
      <c r="N133" s="85"/>
      <c r="O133" s="85"/>
      <c r="P133" s="85"/>
      <c r="Q133" s="86">
        <f>1.51*12*P116</f>
        <v>46495.920000000006</v>
      </c>
      <c r="R133" s="87"/>
      <c r="S133" s="299" t="s">
        <v>599</v>
      </c>
    </row>
    <row r="134" spans="1:19" ht="36" customHeight="1" x14ac:dyDescent="0.25">
      <c r="A134" s="118"/>
      <c r="B134" s="121" t="s">
        <v>226</v>
      </c>
      <c r="C134" s="122"/>
      <c r="D134" s="122"/>
      <c r="E134" s="122"/>
      <c r="F134" s="122"/>
      <c r="G134" s="88"/>
      <c r="H134" s="89"/>
      <c r="I134" s="300"/>
      <c r="J134" s="41"/>
      <c r="K134" s="118"/>
      <c r="L134" s="121" t="s">
        <v>226</v>
      </c>
      <c r="M134" s="122"/>
      <c r="N134" s="122"/>
      <c r="O134" s="122"/>
      <c r="P134" s="122"/>
      <c r="Q134" s="88"/>
      <c r="R134" s="89"/>
      <c r="S134" s="300"/>
    </row>
    <row r="135" spans="1:19" ht="36" customHeight="1" x14ac:dyDescent="0.25">
      <c r="A135" s="119"/>
      <c r="B135" s="121" t="s">
        <v>227</v>
      </c>
      <c r="C135" s="122"/>
      <c r="D135" s="122"/>
      <c r="E135" s="122"/>
      <c r="F135" s="122"/>
      <c r="G135" s="88"/>
      <c r="H135" s="89"/>
      <c r="I135" s="300"/>
      <c r="J135" s="41"/>
      <c r="K135" s="119"/>
      <c r="L135" s="121" t="s">
        <v>227</v>
      </c>
      <c r="M135" s="122"/>
      <c r="N135" s="122"/>
      <c r="O135" s="122"/>
      <c r="P135" s="122"/>
      <c r="Q135" s="88"/>
      <c r="R135" s="89"/>
      <c r="S135" s="300"/>
    </row>
    <row r="136" spans="1:19" ht="44.25" customHeight="1" x14ac:dyDescent="0.25">
      <c r="A136" s="119"/>
      <c r="B136" s="121" t="s">
        <v>228</v>
      </c>
      <c r="C136" s="122"/>
      <c r="D136" s="122"/>
      <c r="E136" s="122"/>
      <c r="F136" s="122"/>
      <c r="G136" s="88"/>
      <c r="H136" s="89"/>
      <c r="I136" s="300"/>
      <c r="J136" s="42"/>
      <c r="K136" s="119"/>
      <c r="L136" s="121" t="s">
        <v>228</v>
      </c>
      <c r="M136" s="122"/>
      <c r="N136" s="122"/>
      <c r="O136" s="122"/>
      <c r="P136" s="122"/>
      <c r="Q136" s="88"/>
      <c r="R136" s="89"/>
      <c r="S136" s="300"/>
    </row>
    <row r="137" spans="1:19" ht="63" customHeight="1" thickBot="1" x14ac:dyDescent="0.3">
      <c r="A137" s="120"/>
      <c r="B137" s="123" t="s">
        <v>234</v>
      </c>
      <c r="C137" s="124"/>
      <c r="D137" s="124"/>
      <c r="E137" s="124"/>
      <c r="F137" s="124"/>
      <c r="G137" s="90"/>
      <c r="H137" s="91"/>
      <c r="I137" s="301"/>
      <c r="J137" s="43"/>
      <c r="K137" s="120"/>
      <c r="L137" s="123" t="s">
        <v>234</v>
      </c>
      <c r="M137" s="124"/>
      <c r="N137" s="124"/>
      <c r="O137" s="124"/>
      <c r="P137" s="124"/>
      <c r="Q137" s="90"/>
      <c r="R137" s="91"/>
      <c r="S137" s="301"/>
    </row>
    <row r="138" spans="1:19" ht="1.5" customHeight="1" thickBot="1" x14ac:dyDescent="0.3">
      <c r="A138" s="15"/>
      <c r="B138" s="137" t="s">
        <v>248</v>
      </c>
      <c r="C138" s="138"/>
      <c r="D138" s="138"/>
      <c r="E138" s="138"/>
      <c r="F138" s="138"/>
      <c r="G138" s="139"/>
      <c r="H138" s="140"/>
      <c r="I138" s="16"/>
      <c r="J138" s="44"/>
      <c r="K138" s="15"/>
      <c r="L138" s="137" t="s">
        <v>248</v>
      </c>
      <c r="M138" s="138"/>
      <c r="N138" s="138"/>
      <c r="O138" s="138"/>
      <c r="P138" s="138"/>
      <c r="Q138" s="139"/>
      <c r="R138" s="140"/>
      <c r="S138" s="16"/>
    </row>
    <row r="139" spans="1:19" ht="0.75" customHeight="1" thickBot="1" x14ac:dyDescent="0.3">
      <c r="A139" s="15"/>
      <c r="B139" s="137" t="s">
        <v>235</v>
      </c>
      <c r="C139" s="138"/>
      <c r="D139" s="138"/>
      <c r="E139" s="138"/>
      <c r="F139" s="138"/>
      <c r="G139" s="139"/>
      <c r="H139" s="140"/>
      <c r="I139" s="16"/>
      <c r="J139" s="40"/>
      <c r="K139" s="15"/>
      <c r="L139" s="137" t="s">
        <v>235</v>
      </c>
      <c r="M139" s="138"/>
      <c r="N139" s="138"/>
      <c r="O139" s="138"/>
      <c r="P139" s="138"/>
      <c r="Q139" s="139"/>
      <c r="R139" s="140"/>
      <c r="S139" s="16"/>
    </row>
    <row r="140" spans="1:19" ht="35.25" customHeight="1" thickBot="1" x14ac:dyDescent="0.3">
      <c r="A140" s="17"/>
      <c r="B140" s="78" t="s">
        <v>237</v>
      </c>
      <c r="C140" s="79"/>
      <c r="D140" s="79"/>
      <c r="E140" s="79"/>
      <c r="F140" s="79"/>
      <c r="G140" s="86">
        <v>23864</v>
      </c>
      <c r="H140" s="87"/>
      <c r="I140" s="108" t="s">
        <v>229</v>
      </c>
      <c r="J140" s="62"/>
      <c r="K140" s="17"/>
      <c r="L140" s="78" t="s">
        <v>237</v>
      </c>
      <c r="M140" s="79"/>
      <c r="N140" s="79"/>
      <c r="O140" s="79"/>
      <c r="P140" s="79"/>
      <c r="Q140" s="86">
        <v>3079</v>
      </c>
      <c r="R140" s="87"/>
      <c r="S140" s="108" t="s">
        <v>229</v>
      </c>
    </row>
    <row r="141" spans="1:19" ht="15.75" customHeight="1" thickBot="1" x14ac:dyDescent="0.3">
      <c r="A141" s="18"/>
      <c r="B141" s="110" t="s">
        <v>238</v>
      </c>
      <c r="C141" s="111"/>
      <c r="D141" s="111"/>
      <c r="E141" s="111"/>
      <c r="F141" s="111"/>
      <c r="G141" s="90"/>
      <c r="H141" s="91"/>
      <c r="I141" s="109"/>
      <c r="J141" s="46"/>
      <c r="K141" s="18"/>
      <c r="L141" s="110" t="s">
        <v>238</v>
      </c>
      <c r="M141" s="111"/>
      <c r="N141" s="111"/>
      <c r="O141" s="111"/>
      <c r="P141" s="111"/>
      <c r="Q141" s="90"/>
      <c r="R141" s="91"/>
      <c r="S141" s="109"/>
    </row>
    <row r="142" spans="1:19" ht="24" customHeight="1" thickBot="1" x14ac:dyDescent="0.3">
      <c r="A142" s="19"/>
      <c r="B142" s="112" t="s">
        <v>239</v>
      </c>
      <c r="C142" s="113"/>
      <c r="D142" s="113"/>
      <c r="E142" s="113"/>
      <c r="F142" s="113"/>
      <c r="G142" s="114">
        <f>SUM(G121:H141)</f>
        <v>151305.22400000002</v>
      </c>
      <c r="H142" s="115"/>
      <c r="I142" s="20"/>
      <c r="J142" s="47"/>
      <c r="K142" s="19"/>
      <c r="L142" s="112" t="s">
        <v>239</v>
      </c>
      <c r="M142" s="113"/>
      <c r="N142" s="113"/>
      <c r="O142" s="113"/>
      <c r="P142" s="113"/>
      <c r="Q142" s="114">
        <f>SUM(Q121:R141)</f>
        <v>166584.51999999999</v>
      </c>
      <c r="R142" s="115"/>
      <c r="S142" s="20"/>
    </row>
    <row r="143" spans="1:19" ht="24" customHeight="1" thickBot="1" x14ac:dyDescent="0.3">
      <c r="A143" s="21"/>
      <c r="B143" s="101" t="s">
        <v>240</v>
      </c>
      <c r="C143" s="102"/>
      <c r="D143" s="102"/>
      <c r="E143" s="102"/>
      <c r="F143" s="102"/>
      <c r="G143" s="116">
        <f>G142*1.2</f>
        <v>181566.26880000002</v>
      </c>
      <c r="H143" s="117"/>
      <c r="I143" s="22"/>
      <c r="J143" s="47"/>
      <c r="K143" s="21"/>
      <c r="L143" s="101" t="s">
        <v>240</v>
      </c>
      <c r="M143" s="102"/>
      <c r="N143" s="102"/>
      <c r="O143" s="102"/>
      <c r="P143" s="102"/>
      <c r="Q143" s="116">
        <f>Q142*1.2</f>
        <v>199901.42399999997</v>
      </c>
      <c r="R143" s="117"/>
      <c r="S143" s="22"/>
    </row>
    <row r="144" spans="1:19" ht="24" customHeight="1" thickBot="1" x14ac:dyDescent="0.3">
      <c r="A144" s="24"/>
      <c r="B144" s="96" t="s">
        <v>443</v>
      </c>
      <c r="C144" s="97"/>
      <c r="D144" s="97"/>
      <c r="E144" s="97"/>
      <c r="F144" s="97"/>
      <c r="G144" s="311">
        <v>181751.33</v>
      </c>
      <c r="H144" s="312"/>
      <c r="I144" s="313"/>
      <c r="J144" s="47"/>
      <c r="K144" s="24"/>
      <c r="L144" s="96" t="s">
        <v>443</v>
      </c>
      <c r="M144" s="97"/>
      <c r="N144" s="97"/>
      <c r="O144" s="97"/>
      <c r="P144" s="97"/>
      <c r="Q144" s="311">
        <v>199027.83</v>
      </c>
      <c r="R144" s="312"/>
      <c r="S144" s="313"/>
    </row>
    <row r="145" spans="1:19" ht="24" customHeight="1" thickBot="1" x14ac:dyDescent="0.3">
      <c r="A145" s="19"/>
      <c r="B145" s="101" t="s">
        <v>242</v>
      </c>
      <c r="C145" s="102"/>
      <c r="D145" s="102"/>
      <c r="E145" s="102"/>
      <c r="F145" s="102"/>
      <c r="G145" s="307">
        <v>175151.33</v>
      </c>
      <c r="H145" s="308"/>
      <c r="I145" s="309"/>
      <c r="J145" s="48"/>
      <c r="K145" s="19"/>
      <c r="L145" s="101" t="s">
        <v>242</v>
      </c>
      <c r="M145" s="102"/>
      <c r="N145" s="102"/>
      <c r="O145" s="102"/>
      <c r="P145" s="102"/>
      <c r="Q145" s="307">
        <v>207075.57</v>
      </c>
      <c r="R145" s="308"/>
      <c r="S145" s="309"/>
    </row>
    <row r="146" spans="1:19" ht="24" customHeight="1" thickBot="1" x14ac:dyDescent="0.3">
      <c r="A146" s="19"/>
      <c r="B146" s="106" t="s">
        <v>444</v>
      </c>
      <c r="C146" s="107"/>
      <c r="D146" s="107"/>
      <c r="E146" s="107"/>
      <c r="F146" s="208"/>
      <c r="G146" s="307">
        <v>29159.96</v>
      </c>
      <c r="H146" s="308"/>
      <c r="I146" s="309"/>
      <c r="J146" s="49"/>
      <c r="K146" s="19"/>
      <c r="L146" s="106" t="s">
        <v>444</v>
      </c>
      <c r="M146" s="107"/>
      <c r="N146" s="107"/>
      <c r="O146" s="107"/>
      <c r="P146" s="208"/>
      <c r="Q146" s="307">
        <v>32035.33</v>
      </c>
      <c r="R146" s="308"/>
      <c r="S146" s="309"/>
    </row>
    <row r="147" spans="1:19" x14ac:dyDescent="0.25">
      <c r="E147" s="50"/>
      <c r="I147" s="5"/>
      <c r="O147" s="50"/>
      <c r="S147" s="5"/>
    </row>
    <row r="148" spans="1:19" x14ac:dyDescent="0.25">
      <c r="A148" s="3"/>
      <c r="I148" s="5"/>
      <c r="K148" s="3"/>
      <c r="S148" s="5"/>
    </row>
    <row r="149" spans="1:19" ht="15.75" x14ac:dyDescent="0.25">
      <c r="A149" s="30"/>
      <c r="K149" s="30"/>
    </row>
    <row r="150" spans="1:19" ht="15.75" x14ac:dyDescent="0.25">
      <c r="A150" s="30"/>
      <c r="K150" s="30"/>
    </row>
    <row r="151" spans="1:19" x14ac:dyDescent="0.25">
      <c r="A151" s="3"/>
      <c r="B151" s="3"/>
      <c r="C151" s="3"/>
      <c r="D151" s="3"/>
      <c r="E151" s="4" t="s">
        <v>204</v>
      </c>
      <c r="F151" s="3"/>
      <c r="G151" s="3"/>
      <c r="H151" s="3"/>
      <c r="I151" s="3"/>
      <c r="K151" s="3"/>
      <c r="L151" s="3"/>
      <c r="M151" s="3"/>
      <c r="N151" s="3"/>
      <c r="O151" s="4" t="s">
        <v>204</v>
      </c>
      <c r="P151" s="3"/>
      <c r="Q151" s="3"/>
      <c r="R151" s="3"/>
      <c r="S151" s="3"/>
    </row>
    <row r="152" spans="1:19" x14ac:dyDescent="0.25">
      <c r="A152" s="3" t="s">
        <v>205</v>
      </c>
      <c r="B152" s="3"/>
      <c r="C152" s="3"/>
      <c r="D152" s="3" t="s">
        <v>369</v>
      </c>
      <c r="E152" s="3"/>
      <c r="F152" s="3"/>
      <c r="G152" s="3"/>
      <c r="H152" s="3"/>
      <c r="I152" s="3"/>
      <c r="K152" s="3" t="s">
        <v>205</v>
      </c>
      <c r="L152" s="3"/>
      <c r="M152" s="3"/>
      <c r="N152" s="3" t="s">
        <v>370</v>
      </c>
      <c r="O152" s="3"/>
      <c r="P152" s="3"/>
      <c r="Q152" s="3"/>
      <c r="R152" s="3"/>
      <c r="S152" s="3"/>
    </row>
    <row r="153" spans="1:19" ht="15.75" customHeight="1" x14ac:dyDescent="0.25">
      <c r="A153" s="3"/>
      <c r="B153" s="5" t="s">
        <v>440</v>
      </c>
      <c r="C153" s="3"/>
      <c r="D153" s="3"/>
      <c r="E153" s="3"/>
      <c r="F153" s="3"/>
      <c r="G153" s="3"/>
      <c r="H153" s="3"/>
      <c r="I153" s="3"/>
      <c r="K153" s="3"/>
      <c r="L153" s="5" t="s">
        <v>440</v>
      </c>
      <c r="M153" s="3"/>
      <c r="N153" s="3"/>
      <c r="O153" s="3"/>
      <c r="P153" s="3"/>
      <c r="Q153" s="3"/>
      <c r="R153" s="3"/>
      <c r="S153" s="3"/>
    </row>
    <row r="154" spans="1:19" ht="22.5" customHeight="1" thickBot="1" x14ac:dyDescent="0.3">
      <c r="A154" s="3"/>
      <c r="B154" s="5" t="s">
        <v>206</v>
      </c>
      <c r="C154" s="3"/>
      <c r="D154" s="3"/>
      <c r="E154" s="3"/>
      <c r="F154" s="3">
        <v>3163.8</v>
      </c>
      <c r="G154" s="3" t="s">
        <v>207</v>
      </c>
      <c r="H154" s="3"/>
      <c r="I154" s="3"/>
      <c r="J154" s="3"/>
      <c r="K154" s="3"/>
      <c r="L154" s="5" t="s">
        <v>206</v>
      </c>
      <c r="M154" s="3"/>
      <c r="N154" s="3"/>
      <c r="O154" s="3"/>
      <c r="P154" s="3">
        <v>3169</v>
      </c>
      <c r="Q154" s="3" t="s">
        <v>207</v>
      </c>
      <c r="R154" s="3"/>
      <c r="S154" s="3"/>
    </row>
    <row r="155" spans="1:19" ht="53.25" customHeight="1" thickBot="1" x14ac:dyDescent="0.3">
      <c r="A155" s="175" t="s">
        <v>209</v>
      </c>
      <c r="B155" s="177" t="s">
        <v>210</v>
      </c>
      <c r="C155" s="178"/>
      <c r="D155" s="178"/>
      <c r="E155" s="178"/>
      <c r="F155" s="178"/>
      <c r="G155" s="180" t="s">
        <v>442</v>
      </c>
      <c r="H155" s="181"/>
      <c r="I155" s="175" t="s">
        <v>212</v>
      </c>
      <c r="J155" s="3"/>
      <c r="K155" s="175" t="s">
        <v>209</v>
      </c>
      <c r="L155" s="177" t="s">
        <v>210</v>
      </c>
      <c r="M155" s="178"/>
      <c r="N155" s="178"/>
      <c r="O155" s="178"/>
      <c r="P155" s="178"/>
      <c r="Q155" s="180" t="s">
        <v>442</v>
      </c>
      <c r="R155" s="181"/>
      <c r="S155" s="175" t="s">
        <v>212</v>
      </c>
    </row>
    <row r="156" spans="1:19" ht="15.75" hidden="1" customHeight="1" x14ac:dyDescent="0.25">
      <c r="A156" s="176"/>
      <c r="B156" s="179"/>
      <c r="C156" s="179"/>
      <c r="D156" s="179"/>
      <c r="E156" s="179"/>
      <c r="F156" s="179"/>
      <c r="G156" s="182"/>
      <c r="H156" s="183"/>
      <c r="I156" s="184"/>
      <c r="J156" s="31"/>
      <c r="K156" s="176"/>
      <c r="L156" s="179"/>
      <c r="M156" s="179"/>
      <c r="N156" s="179"/>
      <c r="O156" s="179"/>
      <c r="P156" s="179"/>
      <c r="Q156" s="182"/>
      <c r="R156" s="183"/>
      <c r="S156" s="184"/>
    </row>
    <row r="157" spans="1:19" ht="16.5" customHeight="1" thickBot="1" x14ac:dyDescent="0.3">
      <c r="A157" s="185" t="s">
        <v>213</v>
      </c>
      <c r="B157" s="187" t="s">
        <v>354</v>
      </c>
      <c r="C157" s="188"/>
      <c r="D157" s="188"/>
      <c r="E157" s="188"/>
      <c r="F157" s="188"/>
      <c r="G157" s="190">
        <v>51143.839999999997</v>
      </c>
      <c r="H157" s="191"/>
      <c r="I157" s="192"/>
      <c r="J157" s="32"/>
      <c r="K157" s="185" t="s">
        <v>213</v>
      </c>
      <c r="L157" s="187" t="s">
        <v>354</v>
      </c>
      <c r="M157" s="188"/>
      <c r="N157" s="188"/>
      <c r="O157" s="188"/>
      <c r="P157" s="188"/>
      <c r="Q157" s="190">
        <v>111894.94</v>
      </c>
      <c r="R157" s="191"/>
      <c r="S157" s="192"/>
    </row>
    <row r="158" spans="1:19" ht="13.5" customHeight="1" thickBot="1" x14ac:dyDescent="0.3">
      <c r="A158" s="186"/>
      <c r="B158" s="189"/>
      <c r="C158" s="189"/>
      <c r="D158" s="189"/>
      <c r="E158" s="189"/>
      <c r="F158" s="189"/>
      <c r="G158" s="193"/>
      <c r="H158" s="194"/>
      <c r="I158" s="128"/>
      <c r="J158" s="33"/>
      <c r="K158" s="186"/>
      <c r="L158" s="189"/>
      <c r="M158" s="189"/>
      <c r="N158" s="189"/>
      <c r="O158" s="189"/>
      <c r="P158" s="189"/>
      <c r="Q158" s="193"/>
      <c r="R158" s="194"/>
      <c r="S158" s="128"/>
    </row>
    <row r="159" spans="1:19" ht="13.5" customHeight="1" x14ac:dyDescent="0.25">
      <c r="A159" s="6"/>
      <c r="B159" s="161" t="s">
        <v>214</v>
      </c>
      <c r="C159" s="162"/>
      <c r="D159" s="162"/>
      <c r="E159" s="162"/>
      <c r="F159" s="162"/>
      <c r="G159" s="163">
        <f>1.49*12*F154</f>
        <v>56568.743999999999</v>
      </c>
      <c r="H159" s="164"/>
      <c r="I159" s="169" t="s">
        <v>215</v>
      </c>
      <c r="J159" s="36"/>
      <c r="K159" s="6"/>
      <c r="L159" s="161" t="s">
        <v>214</v>
      </c>
      <c r="M159" s="162"/>
      <c r="N159" s="162"/>
      <c r="O159" s="162"/>
      <c r="P159" s="162"/>
      <c r="Q159" s="163">
        <f>1.72*12*P154</f>
        <v>65408.160000000003</v>
      </c>
      <c r="R159" s="164"/>
      <c r="S159" s="169" t="s">
        <v>215</v>
      </c>
    </row>
    <row r="160" spans="1:19" ht="36.75" customHeight="1" thickBot="1" x14ac:dyDescent="0.3">
      <c r="A160" s="7"/>
      <c r="B160" s="171" t="s">
        <v>216</v>
      </c>
      <c r="C160" s="172"/>
      <c r="D160" s="172"/>
      <c r="E160" s="172"/>
      <c r="F160" s="172"/>
      <c r="G160" s="165"/>
      <c r="H160" s="166"/>
      <c r="I160" s="170"/>
      <c r="J160" s="35"/>
      <c r="K160" s="7"/>
      <c r="L160" s="171" t="s">
        <v>216</v>
      </c>
      <c r="M160" s="172"/>
      <c r="N160" s="172"/>
      <c r="O160" s="172"/>
      <c r="P160" s="172"/>
      <c r="Q160" s="165"/>
      <c r="R160" s="166"/>
      <c r="S160" s="170"/>
    </row>
    <row r="161" spans="1:19" ht="13.5" customHeight="1" thickBot="1" x14ac:dyDescent="0.3">
      <c r="A161" s="7"/>
      <c r="B161" s="173" t="s">
        <v>217</v>
      </c>
      <c r="C161" s="174"/>
      <c r="D161" s="174"/>
      <c r="E161" s="174"/>
      <c r="F161" s="174"/>
      <c r="G161" s="167"/>
      <c r="H161" s="168"/>
      <c r="I161" s="8" t="s">
        <v>218</v>
      </c>
      <c r="J161" s="36"/>
      <c r="K161" s="7"/>
      <c r="L161" s="173" t="s">
        <v>217</v>
      </c>
      <c r="M161" s="174"/>
      <c r="N161" s="174"/>
      <c r="O161" s="174"/>
      <c r="P161" s="174"/>
      <c r="Q161" s="167"/>
      <c r="R161" s="168"/>
      <c r="S161" s="8" t="s">
        <v>218</v>
      </c>
    </row>
    <row r="162" spans="1:19" ht="13.5" customHeight="1" thickBot="1" x14ac:dyDescent="0.3">
      <c r="A162" s="7"/>
      <c r="B162" s="141" t="s">
        <v>219</v>
      </c>
      <c r="C162" s="142"/>
      <c r="D162" s="142"/>
      <c r="E162" s="142"/>
      <c r="F162" s="142"/>
      <c r="G162" s="143">
        <v>0</v>
      </c>
      <c r="H162" s="144"/>
      <c r="I162" s="8" t="s">
        <v>220</v>
      </c>
      <c r="J162" s="36"/>
      <c r="K162" s="7"/>
      <c r="L162" s="141" t="s">
        <v>219</v>
      </c>
      <c r="M162" s="142"/>
      <c r="N162" s="142"/>
      <c r="O162" s="142"/>
      <c r="P162" s="142"/>
      <c r="Q162" s="143">
        <v>0</v>
      </c>
      <c r="R162" s="144"/>
      <c r="S162" s="8" t="s">
        <v>220</v>
      </c>
    </row>
    <row r="163" spans="1:19" ht="13.5" customHeight="1" thickBot="1" x14ac:dyDescent="0.3">
      <c r="A163" s="7"/>
      <c r="B163" s="141" t="s">
        <v>221</v>
      </c>
      <c r="C163" s="142"/>
      <c r="D163" s="142"/>
      <c r="E163" s="142"/>
      <c r="F163" s="142"/>
      <c r="G163" s="143">
        <f>0.3*12*F154</f>
        <v>11389.68</v>
      </c>
      <c r="H163" s="144"/>
      <c r="I163" s="8" t="s">
        <v>222</v>
      </c>
      <c r="J163" s="37"/>
      <c r="K163" s="7"/>
      <c r="L163" s="141" t="s">
        <v>221</v>
      </c>
      <c r="M163" s="142"/>
      <c r="N163" s="142"/>
      <c r="O163" s="142"/>
      <c r="P163" s="142"/>
      <c r="Q163" s="143">
        <f>0.4*12*P154</f>
        <v>15211.200000000003</v>
      </c>
      <c r="R163" s="144"/>
      <c r="S163" s="8" t="s">
        <v>222</v>
      </c>
    </row>
    <row r="164" spans="1:19" ht="13.5" customHeight="1" x14ac:dyDescent="0.25">
      <c r="A164" s="9"/>
      <c r="B164" s="145" t="s">
        <v>223</v>
      </c>
      <c r="C164" s="146"/>
      <c r="D164" s="146"/>
      <c r="E164" s="146"/>
      <c r="F164" s="146"/>
      <c r="G164" s="86">
        <f>1.92*12*F154</f>
        <v>72893.952000000005</v>
      </c>
      <c r="H164" s="147"/>
      <c r="I164" s="152" t="s">
        <v>224</v>
      </c>
      <c r="J164" s="38"/>
      <c r="K164" s="9"/>
      <c r="L164" s="145" t="s">
        <v>223</v>
      </c>
      <c r="M164" s="146"/>
      <c r="N164" s="146"/>
      <c r="O164" s="146"/>
      <c r="P164" s="146"/>
      <c r="Q164" s="86">
        <f>2.29*12*P154</f>
        <v>87084.12</v>
      </c>
      <c r="R164" s="147"/>
      <c r="S164" s="152" t="s">
        <v>224</v>
      </c>
    </row>
    <row r="165" spans="1:19" ht="13.5" customHeight="1" x14ac:dyDescent="0.25">
      <c r="A165" s="10"/>
      <c r="B165" s="155" t="s">
        <v>226</v>
      </c>
      <c r="C165" s="156"/>
      <c r="D165" s="156"/>
      <c r="E165" s="156"/>
      <c r="F165" s="156"/>
      <c r="G165" s="148"/>
      <c r="H165" s="149"/>
      <c r="I165" s="153"/>
      <c r="J165" s="38"/>
      <c r="K165" s="10"/>
      <c r="L165" s="155" t="s">
        <v>226</v>
      </c>
      <c r="M165" s="156"/>
      <c r="N165" s="156"/>
      <c r="O165" s="156"/>
      <c r="P165" s="156"/>
      <c r="Q165" s="148"/>
      <c r="R165" s="149"/>
      <c r="S165" s="153"/>
    </row>
    <row r="166" spans="1:19" ht="13.5" customHeight="1" thickBot="1" x14ac:dyDescent="0.3">
      <c r="A166" s="10"/>
      <c r="B166" s="157" t="s">
        <v>227</v>
      </c>
      <c r="C166" s="158"/>
      <c r="D166" s="158"/>
      <c r="E166" s="158"/>
      <c r="F166" s="158"/>
      <c r="G166" s="148"/>
      <c r="H166" s="149"/>
      <c r="I166" s="154"/>
      <c r="J166" s="39"/>
      <c r="K166" s="10"/>
      <c r="L166" s="157" t="s">
        <v>227</v>
      </c>
      <c r="M166" s="158"/>
      <c r="N166" s="158"/>
      <c r="O166" s="158"/>
      <c r="P166" s="158"/>
      <c r="Q166" s="148"/>
      <c r="R166" s="149"/>
      <c r="S166" s="154"/>
    </row>
    <row r="167" spans="1:19" ht="13.5" customHeight="1" thickBot="1" x14ac:dyDescent="0.3">
      <c r="A167" s="10"/>
      <c r="B167" s="159" t="s">
        <v>228</v>
      </c>
      <c r="C167" s="160"/>
      <c r="D167" s="160"/>
      <c r="E167" s="160"/>
      <c r="F167" s="160"/>
      <c r="G167" s="150"/>
      <c r="H167" s="151"/>
      <c r="I167" s="11" t="s">
        <v>229</v>
      </c>
      <c r="J167" s="36"/>
      <c r="K167" s="10"/>
      <c r="L167" s="159" t="s">
        <v>228</v>
      </c>
      <c r="M167" s="160"/>
      <c r="N167" s="160"/>
      <c r="O167" s="160"/>
      <c r="P167" s="160"/>
      <c r="Q167" s="150"/>
      <c r="R167" s="151"/>
      <c r="S167" s="11" t="s">
        <v>229</v>
      </c>
    </row>
    <row r="168" spans="1:19" ht="15.75" customHeight="1" x14ac:dyDescent="0.25">
      <c r="A168" s="12"/>
      <c r="B168" s="125" t="s">
        <v>230</v>
      </c>
      <c r="C168" s="126"/>
      <c r="D168" s="126"/>
      <c r="E168" s="126"/>
      <c r="F168" s="126"/>
      <c r="G168" s="86">
        <f>0.2*12*F154</f>
        <v>7593.1200000000017</v>
      </c>
      <c r="H168" s="87"/>
      <c r="I168" s="129" t="s">
        <v>220</v>
      </c>
      <c r="J168" s="36"/>
      <c r="K168" s="12"/>
      <c r="L168" s="125" t="s">
        <v>230</v>
      </c>
      <c r="M168" s="126"/>
      <c r="N168" s="126"/>
      <c r="O168" s="126"/>
      <c r="P168" s="126"/>
      <c r="Q168" s="86">
        <f>0.048*12*P154</f>
        <v>1825.3440000000003</v>
      </c>
      <c r="R168" s="87"/>
      <c r="S168" s="129" t="s">
        <v>220</v>
      </c>
    </row>
    <row r="169" spans="1:19" ht="15.75" customHeight="1" thickBot="1" x14ac:dyDescent="0.3">
      <c r="A169" s="7"/>
      <c r="B169" s="131" t="s">
        <v>231</v>
      </c>
      <c r="C169" s="132"/>
      <c r="D169" s="132"/>
      <c r="E169" s="132"/>
      <c r="F169" s="132"/>
      <c r="G169" s="127"/>
      <c r="H169" s="128"/>
      <c r="I169" s="130"/>
      <c r="J169" s="36"/>
      <c r="K169" s="7"/>
      <c r="L169" s="131" t="s">
        <v>231</v>
      </c>
      <c r="M169" s="132"/>
      <c r="N169" s="132"/>
      <c r="O169" s="132"/>
      <c r="P169" s="132"/>
      <c r="Q169" s="127"/>
      <c r="R169" s="128"/>
      <c r="S169" s="130"/>
    </row>
    <row r="170" spans="1:19" ht="15.75" customHeight="1" thickBot="1" x14ac:dyDescent="0.3">
      <c r="A170" s="13"/>
      <c r="B170" s="133" t="s">
        <v>232</v>
      </c>
      <c r="C170" s="134"/>
      <c r="D170" s="134"/>
      <c r="E170" s="134"/>
      <c r="F170" s="134"/>
      <c r="G170" s="135"/>
      <c r="H170" s="136"/>
      <c r="I170" s="14"/>
      <c r="J170" s="36"/>
      <c r="K170" s="13"/>
      <c r="L170" s="133" t="s">
        <v>232</v>
      </c>
      <c r="M170" s="134"/>
      <c r="N170" s="134"/>
      <c r="O170" s="134"/>
      <c r="P170" s="134"/>
      <c r="Q170" s="135"/>
      <c r="R170" s="136"/>
      <c r="S170" s="14"/>
    </row>
    <row r="171" spans="1:19" ht="15.75" thickBot="1" x14ac:dyDescent="0.3">
      <c r="A171" s="13"/>
      <c r="B171" s="84" t="s">
        <v>233</v>
      </c>
      <c r="C171" s="85"/>
      <c r="D171" s="85"/>
      <c r="E171" s="85"/>
      <c r="F171" s="85"/>
      <c r="G171" s="86">
        <f>1.56*12*F154</f>
        <v>59226.336000000003</v>
      </c>
      <c r="H171" s="87"/>
      <c r="I171" s="299" t="s">
        <v>600</v>
      </c>
      <c r="J171" s="41"/>
      <c r="K171" s="13"/>
      <c r="L171" s="84" t="s">
        <v>233</v>
      </c>
      <c r="M171" s="85"/>
      <c r="N171" s="85"/>
      <c r="O171" s="85"/>
      <c r="P171" s="85"/>
      <c r="Q171" s="86">
        <f>1.85*12*P154</f>
        <v>70351.8</v>
      </c>
      <c r="R171" s="87"/>
      <c r="S171" s="320" t="s">
        <v>602</v>
      </c>
    </row>
    <row r="172" spans="1:19" ht="28.5" customHeight="1" x14ac:dyDescent="0.25">
      <c r="A172" s="118"/>
      <c r="B172" s="121" t="s">
        <v>226</v>
      </c>
      <c r="C172" s="122"/>
      <c r="D172" s="122"/>
      <c r="E172" s="122"/>
      <c r="F172" s="122"/>
      <c r="G172" s="88"/>
      <c r="H172" s="89"/>
      <c r="I172" s="300"/>
      <c r="J172" s="41"/>
      <c r="K172" s="118"/>
      <c r="L172" s="121" t="s">
        <v>226</v>
      </c>
      <c r="M172" s="122"/>
      <c r="N172" s="122"/>
      <c r="O172" s="122"/>
      <c r="P172" s="122"/>
      <c r="Q172" s="88"/>
      <c r="R172" s="89"/>
      <c r="S172" s="321"/>
    </row>
    <row r="173" spans="1:19" ht="34.5" customHeight="1" x14ac:dyDescent="0.25">
      <c r="A173" s="119"/>
      <c r="B173" s="121" t="s">
        <v>227</v>
      </c>
      <c r="C173" s="122"/>
      <c r="D173" s="122"/>
      <c r="E173" s="122"/>
      <c r="F173" s="122"/>
      <c r="G173" s="88"/>
      <c r="H173" s="89"/>
      <c r="I173" s="300"/>
      <c r="J173" s="41"/>
      <c r="K173" s="119"/>
      <c r="L173" s="121" t="s">
        <v>227</v>
      </c>
      <c r="M173" s="122"/>
      <c r="N173" s="122"/>
      <c r="O173" s="122"/>
      <c r="P173" s="122"/>
      <c r="Q173" s="88"/>
      <c r="R173" s="89"/>
      <c r="S173" s="321"/>
    </row>
    <row r="174" spans="1:19" ht="51.6" customHeight="1" x14ac:dyDescent="0.25">
      <c r="A174" s="119"/>
      <c r="B174" s="121" t="s">
        <v>228</v>
      </c>
      <c r="C174" s="122"/>
      <c r="D174" s="122"/>
      <c r="E174" s="122"/>
      <c r="F174" s="122"/>
      <c r="G174" s="88"/>
      <c r="H174" s="89"/>
      <c r="I174" s="300"/>
      <c r="J174" s="41"/>
      <c r="K174" s="119"/>
      <c r="L174" s="121" t="s">
        <v>228</v>
      </c>
      <c r="M174" s="122"/>
      <c r="N174" s="122"/>
      <c r="O174" s="122"/>
      <c r="P174" s="122"/>
      <c r="Q174" s="88"/>
      <c r="R174" s="89"/>
      <c r="S174" s="321"/>
    </row>
    <row r="175" spans="1:19" ht="98.25" customHeight="1" thickBot="1" x14ac:dyDescent="0.3">
      <c r="A175" s="120"/>
      <c r="B175" s="123" t="s">
        <v>234</v>
      </c>
      <c r="C175" s="124"/>
      <c r="D175" s="124"/>
      <c r="E175" s="124"/>
      <c r="F175" s="124"/>
      <c r="G175" s="90"/>
      <c r="H175" s="91"/>
      <c r="I175" s="301"/>
      <c r="J175" s="42"/>
      <c r="K175" s="120"/>
      <c r="L175" s="123" t="s">
        <v>234</v>
      </c>
      <c r="M175" s="124"/>
      <c r="N175" s="124"/>
      <c r="O175" s="124"/>
      <c r="P175" s="124"/>
      <c r="Q175" s="90"/>
      <c r="R175" s="91"/>
      <c r="S175" s="322"/>
    </row>
    <row r="176" spans="1:19" ht="0.75" customHeight="1" thickBot="1" x14ac:dyDescent="0.3">
      <c r="A176" s="15"/>
      <c r="B176" s="137" t="s">
        <v>248</v>
      </c>
      <c r="C176" s="138"/>
      <c r="D176" s="138"/>
      <c r="E176" s="138"/>
      <c r="F176" s="138"/>
      <c r="G176" s="139"/>
      <c r="H176" s="140"/>
      <c r="I176" s="16"/>
      <c r="J176" s="43"/>
      <c r="K176" s="15"/>
      <c r="L176" s="137" t="s">
        <v>248</v>
      </c>
      <c r="M176" s="138"/>
      <c r="N176" s="138"/>
      <c r="O176" s="138"/>
      <c r="P176" s="138"/>
      <c r="Q176" s="139"/>
      <c r="R176" s="140"/>
      <c r="S176" s="16"/>
    </row>
    <row r="177" spans="1:19" ht="0.75" customHeight="1" thickBot="1" x14ac:dyDescent="0.3">
      <c r="A177" s="15"/>
      <c r="B177" s="137" t="s">
        <v>235</v>
      </c>
      <c r="C177" s="138"/>
      <c r="D177" s="138"/>
      <c r="E177" s="138"/>
      <c r="F177" s="138"/>
      <c r="G177" s="139"/>
      <c r="H177" s="140"/>
      <c r="I177" s="16"/>
      <c r="J177" s="44"/>
      <c r="K177" s="15"/>
      <c r="L177" s="137" t="s">
        <v>235</v>
      </c>
      <c r="M177" s="138"/>
      <c r="N177" s="138"/>
      <c r="O177" s="138"/>
      <c r="P177" s="138"/>
      <c r="Q177" s="139"/>
      <c r="R177" s="140"/>
      <c r="S177" s="16"/>
    </row>
    <row r="178" spans="1:19" ht="35.25" customHeight="1" thickBot="1" x14ac:dyDescent="0.3">
      <c r="A178" s="17"/>
      <c r="B178" s="78" t="s">
        <v>237</v>
      </c>
      <c r="C178" s="79"/>
      <c r="D178" s="79"/>
      <c r="E178" s="79"/>
      <c r="F178" s="79"/>
      <c r="G178" s="86">
        <v>31818</v>
      </c>
      <c r="H178" s="87"/>
      <c r="I178" s="108" t="s">
        <v>229</v>
      </c>
      <c r="J178" s="40"/>
      <c r="K178" s="17"/>
      <c r="L178" s="78" t="s">
        <v>237</v>
      </c>
      <c r="M178" s="79"/>
      <c r="N178" s="79"/>
      <c r="O178" s="79"/>
      <c r="P178" s="79"/>
      <c r="Q178" s="86">
        <v>4163</v>
      </c>
      <c r="R178" s="87"/>
      <c r="S178" s="108" t="s">
        <v>229</v>
      </c>
    </row>
    <row r="179" spans="1:19" ht="15.75" customHeight="1" thickBot="1" x14ac:dyDescent="0.3">
      <c r="A179" s="18"/>
      <c r="B179" s="110" t="s">
        <v>238</v>
      </c>
      <c r="C179" s="111"/>
      <c r="D179" s="111"/>
      <c r="E179" s="111"/>
      <c r="F179" s="111"/>
      <c r="G179" s="90"/>
      <c r="H179" s="91"/>
      <c r="I179" s="109"/>
      <c r="J179" s="45"/>
      <c r="K179" s="18"/>
      <c r="L179" s="110" t="s">
        <v>238</v>
      </c>
      <c r="M179" s="111"/>
      <c r="N179" s="111"/>
      <c r="O179" s="111"/>
      <c r="P179" s="111"/>
      <c r="Q179" s="90"/>
      <c r="R179" s="91"/>
      <c r="S179" s="109"/>
    </row>
    <row r="180" spans="1:19" ht="15.75" customHeight="1" thickBot="1" x14ac:dyDescent="0.3">
      <c r="A180" s="19"/>
      <c r="B180" s="112" t="s">
        <v>239</v>
      </c>
      <c r="C180" s="113"/>
      <c r="D180" s="113"/>
      <c r="E180" s="113"/>
      <c r="F180" s="113"/>
      <c r="G180" s="114">
        <f>SUM(G159:H179)</f>
        <v>239489.83199999999</v>
      </c>
      <c r="H180" s="115"/>
      <c r="I180" s="20"/>
      <c r="J180" s="46"/>
      <c r="K180" s="19"/>
      <c r="L180" s="112" t="s">
        <v>239</v>
      </c>
      <c r="M180" s="113"/>
      <c r="N180" s="113"/>
      <c r="O180" s="113"/>
      <c r="P180" s="113"/>
      <c r="Q180" s="114">
        <f>SUM(Q159:R179)</f>
        <v>244043.62400000001</v>
      </c>
      <c r="R180" s="115"/>
      <c r="S180" s="20"/>
    </row>
    <row r="181" spans="1:19" ht="24" customHeight="1" thickBot="1" x14ac:dyDescent="0.3">
      <c r="A181" s="21"/>
      <c r="B181" s="101" t="s">
        <v>240</v>
      </c>
      <c r="C181" s="102"/>
      <c r="D181" s="102"/>
      <c r="E181" s="102"/>
      <c r="F181" s="102"/>
      <c r="G181" s="116">
        <f>G180*1.2</f>
        <v>287387.79839999997</v>
      </c>
      <c r="H181" s="117"/>
      <c r="I181" s="22"/>
      <c r="J181" s="47"/>
      <c r="K181" s="21"/>
      <c r="L181" s="101" t="s">
        <v>240</v>
      </c>
      <c r="M181" s="102"/>
      <c r="N181" s="102"/>
      <c r="O181" s="102"/>
      <c r="P181" s="102"/>
      <c r="Q181" s="116">
        <f>Q180*1.2</f>
        <v>292852.34879999998</v>
      </c>
      <c r="R181" s="117"/>
      <c r="S181" s="22"/>
    </row>
    <row r="182" spans="1:19" ht="24" customHeight="1" thickBot="1" x14ac:dyDescent="0.3">
      <c r="A182" s="24"/>
      <c r="B182" s="96" t="s">
        <v>443</v>
      </c>
      <c r="C182" s="97"/>
      <c r="D182" s="97"/>
      <c r="E182" s="97"/>
      <c r="F182" s="97"/>
      <c r="G182" s="311">
        <v>287763.34000000003</v>
      </c>
      <c r="H182" s="312"/>
      <c r="I182" s="313"/>
      <c r="J182" s="47"/>
      <c r="K182" s="24"/>
      <c r="L182" s="96" t="s">
        <v>443</v>
      </c>
      <c r="M182" s="97"/>
      <c r="N182" s="97"/>
      <c r="O182" s="97"/>
      <c r="P182" s="97"/>
      <c r="Q182" s="311">
        <v>295971.12</v>
      </c>
      <c r="R182" s="312"/>
      <c r="S182" s="313"/>
    </row>
    <row r="183" spans="1:19" ht="24" customHeight="1" thickBot="1" x14ac:dyDescent="0.3">
      <c r="A183" s="19"/>
      <c r="B183" s="101" t="s">
        <v>242</v>
      </c>
      <c r="C183" s="102"/>
      <c r="D183" s="102"/>
      <c r="E183" s="102"/>
      <c r="F183" s="102"/>
      <c r="G183" s="307">
        <v>291685.52</v>
      </c>
      <c r="H183" s="308"/>
      <c r="I183" s="309"/>
      <c r="J183" s="47"/>
      <c r="K183" s="19"/>
      <c r="L183" s="101" t="s">
        <v>242</v>
      </c>
      <c r="M183" s="102"/>
      <c r="N183" s="102"/>
      <c r="O183" s="102"/>
      <c r="P183" s="102"/>
      <c r="Q183" s="307">
        <v>299211.13</v>
      </c>
      <c r="R183" s="308"/>
      <c r="S183" s="309"/>
    </row>
    <row r="184" spans="1:19" ht="24" customHeight="1" thickBot="1" x14ac:dyDescent="0.3">
      <c r="A184" s="19"/>
      <c r="B184" s="106" t="s">
        <v>444</v>
      </c>
      <c r="C184" s="107"/>
      <c r="D184" s="107"/>
      <c r="E184" s="107"/>
      <c r="F184" s="208"/>
      <c r="G184" s="307">
        <v>47221.66</v>
      </c>
      <c r="H184" s="308"/>
      <c r="I184" s="309"/>
      <c r="J184" s="47"/>
      <c r="K184" s="19"/>
      <c r="L184" s="106" t="s">
        <v>444</v>
      </c>
      <c r="M184" s="107"/>
      <c r="N184" s="107"/>
      <c r="O184" s="107"/>
      <c r="P184" s="208"/>
      <c r="Q184" s="307">
        <v>108654.93</v>
      </c>
      <c r="R184" s="308"/>
      <c r="S184" s="309"/>
    </row>
    <row r="185" spans="1:19" ht="34.5" customHeight="1" x14ac:dyDescent="0.25">
      <c r="A185" s="4"/>
      <c r="B185" s="351"/>
      <c r="C185" s="351"/>
      <c r="D185" s="351"/>
      <c r="E185" s="351"/>
      <c r="F185" s="351"/>
      <c r="G185" s="351"/>
      <c r="H185" s="351"/>
      <c r="I185" s="351"/>
      <c r="K185" s="4"/>
      <c r="L185" s="349" t="s">
        <v>601</v>
      </c>
      <c r="M185" s="349"/>
      <c r="N185" s="349"/>
      <c r="O185" s="349"/>
      <c r="P185" s="349"/>
      <c r="Q185" s="349"/>
      <c r="R185" s="349"/>
      <c r="S185" s="349"/>
    </row>
    <row r="186" spans="1:19" ht="15.75" x14ac:dyDescent="0.25">
      <c r="A186" s="30"/>
      <c r="C186" s="30"/>
      <c r="K186" s="30"/>
      <c r="N186" s="30"/>
    </row>
    <row r="187" spans="1:19" ht="15.75" x14ac:dyDescent="0.25">
      <c r="A187" s="30"/>
      <c r="C187" s="30"/>
      <c r="K187" s="30"/>
      <c r="N187" s="30"/>
    </row>
    <row r="188" spans="1:19" ht="15" customHeight="1" x14ac:dyDescent="0.25">
      <c r="A188" s="3"/>
      <c r="B188" s="3"/>
      <c r="C188" s="3"/>
      <c r="D188" s="3"/>
      <c r="E188" s="4" t="s">
        <v>204</v>
      </c>
      <c r="F188" s="3"/>
      <c r="G188" s="3"/>
      <c r="H188" s="3"/>
      <c r="I188" s="3"/>
      <c r="K188" s="3"/>
      <c r="L188" s="3"/>
      <c r="M188" s="3"/>
      <c r="N188" s="3"/>
      <c r="O188" s="4" t="s">
        <v>204</v>
      </c>
      <c r="P188" s="3"/>
      <c r="Q188" s="3"/>
      <c r="R188" s="3"/>
      <c r="S188" s="3"/>
    </row>
    <row r="189" spans="1:19" ht="23.25" customHeight="1" x14ac:dyDescent="0.25">
      <c r="A189" s="3" t="s">
        <v>205</v>
      </c>
      <c r="B189" s="3"/>
      <c r="C189" s="3"/>
      <c r="D189" s="3" t="s">
        <v>371</v>
      </c>
      <c r="E189" s="3"/>
      <c r="F189" s="3"/>
      <c r="G189" s="3"/>
      <c r="H189" s="3"/>
      <c r="I189" s="3"/>
      <c r="K189" s="3" t="s">
        <v>205</v>
      </c>
      <c r="L189" s="3"/>
      <c r="M189" s="3"/>
      <c r="N189" s="3" t="s">
        <v>372</v>
      </c>
      <c r="O189" s="3"/>
      <c r="P189" s="3"/>
      <c r="Q189" s="3"/>
      <c r="R189" s="3"/>
      <c r="S189" s="3"/>
    </row>
    <row r="190" spans="1:19" ht="18" customHeight="1" x14ac:dyDescent="0.25">
      <c r="A190" s="3"/>
      <c r="B190" s="5" t="s">
        <v>440</v>
      </c>
      <c r="C190" s="3"/>
      <c r="D190" s="3"/>
      <c r="E190" s="3"/>
      <c r="F190" s="3"/>
      <c r="G190" s="3"/>
      <c r="H190" s="3"/>
      <c r="I190" s="3"/>
      <c r="K190" s="3"/>
      <c r="L190" s="5" t="s">
        <v>440</v>
      </c>
      <c r="M190" s="3"/>
      <c r="N190" s="3"/>
      <c r="O190" s="3"/>
      <c r="P190" s="3"/>
      <c r="Q190" s="3"/>
      <c r="R190" s="3"/>
      <c r="S190" s="3"/>
    </row>
    <row r="191" spans="1:19" ht="16.5" customHeight="1" x14ac:dyDescent="0.25">
      <c r="A191" s="3"/>
      <c r="B191" s="5" t="s">
        <v>206</v>
      </c>
      <c r="C191" s="3"/>
      <c r="D191" s="3"/>
      <c r="E191" s="3"/>
      <c r="F191" s="3">
        <v>3178.6</v>
      </c>
      <c r="G191" s="3" t="s">
        <v>207</v>
      </c>
      <c r="H191" s="3"/>
      <c r="I191" s="3"/>
      <c r="K191" s="3"/>
      <c r="L191" s="5" t="s">
        <v>206</v>
      </c>
      <c r="M191" s="3"/>
      <c r="N191" s="3"/>
      <c r="O191" s="3"/>
      <c r="P191" s="3">
        <v>3192</v>
      </c>
      <c r="Q191" s="3" t="s">
        <v>207</v>
      </c>
      <c r="R191" s="3"/>
      <c r="S191" s="3"/>
    </row>
    <row r="192" spans="1:19" ht="15" customHeight="1" thickBot="1" x14ac:dyDescent="0.3">
      <c r="A192" s="3"/>
      <c r="B192" s="3"/>
      <c r="C192" s="3"/>
      <c r="D192" s="4"/>
      <c r="E192" s="4"/>
      <c r="F192" s="3"/>
      <c r="G192" s="3"/>
      <c r="H192" s="3"/>
      <c r="I192" s="3"/>
      <c r="J192" s="3"/>
      <c r="K192" s="3"/>
      <c r="L192" s="3"/>
      <c r="M192" s="3"/>
      <c r="N192" s="4"/>
      <c r="O192" s="4"/>
      <c r="P192" s="3"/>
      <c r="Q192" s="3"/>
      <c r="R192" s="3"/>
      <c r="S192" s="3"/>
    </row>
    <row r="193" spans="1:19" ht="13.5" customHeight="1" x14ac:dyDescent="0.25">
      <c r="A193" s="175" t="s">
        <v>209</v>
      </c>
      <c r="B193" s="177" t="s">
        <v>210</v>
      </c>
      <c r="C193" s="178"/>
      <c r="D193" s="178"/>
      <c r="E193" s="178"/>
      <c r="F193" s="178"/>
      <c r="G193" s="180" t="s">
        <v>442</v>
      </c>
      <c r="H193" s="181"/>
      <c r="I193" s="175" t="s">
        <v>212</v>
      </c>
      <c r="J193" s="3"/>
      <c r="K193" s="175" t="s">
        <v>209</v>
      </c>
      <c r="L193" s="177" t="s">
        <v>210</v>
      </c>
      <c r="M193" s="178"/>
      <c r="N193" s="178"/>
      <c r="O193" s="178"/>
      <c r="P193" s="178"/>
      <c r="Q193" s="180" t="s">
        <v>442</v>
      </c>
      <c r="R193" s="181"/>
      <c r="S193" s="175" t="s">
        <v>212</v>
      </c>
    </row>
    <row r="194" spans="1:19" ht="41.25" customHeight="1" thickBot="1" x14ac:dyDescent="0.3">
      <c r="A194" s="176"/>
      <c r="B194" s="179"/>
      <c r="C194" s="179"/>
      <c r="D194" s="179"/>
      <c r="E194" s="179"/>
      <c r="F194" s="179"/>
      <c r="G194" s="182"/>
      <c r="H194" s="183"/>
      <c r="I194" s="184"/>
      <c r="J194" s="3"/>
      <c r="K194" s="176"/>
      <c r="L194" s="179"/>
      <c r="M194" s="179"/>
      <c r="N194" s="179"/>
      <c r="O194" s="179"/>
      <c r="P194" s="179"/>
      <c r="Q194" s="182"/>
      <c r="R194" s="183"/>
      <c r="S194" s="184"/>
    </row>
    <row r="195" spans="1:19" ht="13.5" customHeight="1" x14ac:dyDescent="0.25">
      <c r="A195" s="185" t="s">
        <v>213</v>
      </c>
      <c r="B195" s="187" t="s">
        <v>354</v>
      </c>
      <c r="C195" s="188"/>
      <c r="D195" s="188"/>
      <c r="E195" s="188"/>
      <c r="F195" s="188"/>
      <c r="G195" s="190">
        <v>85100.6</v>
      </c>
      <c r="H195" s="191"/>
      <c r="I195" s="192"/>
      <c r="J195" s="51"/>
      <c r="K195" s="185" t="s">
        <v>213</v>
      </c>
      <c r="L195" s="187" t="s">
        <v>354</v>
      </c>
      <c r="M195" s="188"/>
      <c r="N195" s="188"/>
      <c r="O195" s="188"/>
      <c r="P195" s="188"/>
      <c r="Q195" s="190">
        <v>101413.31</v>
      </c>
      <c r="R195" s="191"/>
      <c r="S195" s="192"/>
    </row>
    <row r="196" spans="1:19" ht="13.5" customHeight="1" thickBot="1" x14ac:dyDescent="0.3">
      <c r="A196" s="186"/>
      <c r="B196" s="189"/>
      <c r="C196" s="189"/>
      <c r="D196" s="189"/>
      <c r="E196" s="189"/>
      <c r="F196" s="189"/>
      <c r="G196" s="193"/>
      <c r="H196" s="194"/>
      <c r="I196" s="128"/>
      <c r="J196" s="52"/>
      <c r="K196" s="186"/>
      <c r="L196" s="189"/>
      <c r="M196" s="189"/>
      <c r="N196" s="189"/>
      <c r="O196" s="189"/>
      <c r="P196" s="189"/>
      <c r="Q196" s="193"/>
      <c r="R196" s="194"/>
      <c r="S196" s="128"/>
    </row>
    <row r="197" spans="1:19" ht="13.5" customHeight="1" x14ac:dyDescent="0.25">
      <c r="A197" s="6"/>
      <c r="B197" s="161" t="s">
        <v>214</v>
      </c>
      <c r="C197" s="162"/>
      <c r="D197" s="162"/>
      <c r="E197" s="162"/>
      <c r="F197" s="162"/>
      <c r="G197" s="163">
        <f>1.72*12*F191</f>
        <v>65606.304000000004</v>
      </c>
      <c r="H197" s="164"/>
      <c r="I197" s="169" t="s">
        <v>215</v>
      </c>
      <c r="J197" s="63"/>
      <c r="K197" s="6"/>
      <c r="L197" s="161" t="s">
        <v>214</v>
      </c>
      <c r="M197" s="162"/>
      <c r="N197" s="162"/>
      <c r="O197" s="162"/>
      <c r="P197" s="162"/>
      <c r="Q197" s="163">
        <f>1.65*12*P191</f>
        <v>63201.599999999991</v>
      </c>
      <c r="R197" s="164"/>
      <c r="S197" s="169" t="s">
        <v>215</v>
      </c>
    </row>
    <row r="198" spans="1:19" ht="29.25" customHeight="1" thickBot="1" x14ac:dyDescent="0.3">
      <c r="A198" s="7"/>
      <c r="B198" s="171" t="s">
        <v>216</v>
      </c>
      <c r="C198" s="172"/>
      <c r="D198" s="172"/>
      <c r="E198" s="172"/>
      <c r="F198" s="172"/>
      <c r="G198" s="165"/>
      <c r="H198" s="166"/>
      <c r="I198" s="170"/>
      <c r="J198" s="43"/>
      <c r="K198" s="7"/>
      <c r="L198" s="171" t="s">
        <v>216</v>
      </c>
      <c r="M198" s="172"/>
      <c r="N198" s="172"/>
      <c r="O198" s="172"/>
      <c r="P198" s="172"/>
      <c r="Q198" s="165"/>
      <c r="R198" s="166"/>
      <c r="S198" s="170"/>
    </row>
    <row r="199" spans="1:19" ht="13.5" customHeight="1" thickBot="1" x14ac:dyDescent="0.3">
      <c r="A199" s="7"/>
      <c r="B199" s="173" t="s">
        <v>217</v>
      </c>
      <c r="C199" s="174"/>
      <c r="D199" s="174"/>
      <c r="E199" s="174"/>
      <c r="F199" s="174"/>
      <c r="G199" s="167"/>
      <c r="H199" s="168"/>
      <c r="I199" s="8" t="s">
        <v>218</v>
      </c>
      <c r="J199" s="42"/>
      <c r="K199" s="7"/>
      <c r="L199" s="173" t="s">
        <v>217</v>
      </c>
      <c r="M199" s="174"/>
      <c r="N199" s="174"/>
      <c r="O199" s="174"/>
      <c r="P199" s="174"/>
      <c r="Q199" s="167"/>
      <c r="R199" s="168"/>
      <c r="S199" s="8" t="s">
        <v>218</v>
      </c>
    </row>
    <row r="200" spans="1:19" ht="13.5" customHeight="1" thickBot="1" x14ac:dyDescent="0.3">
      <c r="A200" s="7"/>
      <c r="B200" s="141" t="s">
        <v>219</v>
      </c>
      <c r="C200" s="142"/>
      <c r="D200" s="142"/>
      <c r="E200" s="142"/>
      <c r="F200" s="142"/>
      <c r="G200" s="143">
        <v>0</v>
      </c>
      <c r="H200" s="144"/>
      <c r="I200" s="8" t="s">
        <v>220</v>
      </c>
      <c r="J200" s="43"/>
      <c r="K200" s="7"/>
      <c r="L200" s="141" t="s">
        <v>219</v>
      </c>
      <c r="M200" s="142"/>
      <c r="N200" s="142"/>
      <c r="O200" s="142"/>
      <c r="P200" s="142"/>
      <c r="Q200" s="143">
        <v>0</v>
      </c>
      <c r="R200" s="144"/>
      <c r="S200" s="8" t="s">
        <v>220</v>
      </c>
    </row>
    <row r="201" spans="1:19" ht="13.5" customHeight="1" thickBot="1" x14ac:dyDescent="0.3">
      <c r="A201" s="7"/>
      <c r="B201" s="141" t="s">
        <v>221</v>
      </c>
      <c r="C201" s="142"/>
      <c r="D201" s="142"/>
      <c r="E201" s="142"/>
      <c r="F201" s="142"/>
      <c r="G201" s="143">
        <f>0.47*12*F191</f>
        <v>17927.304</v>
      </c>
      <c r="H201" s="144"/>
      <c r="I201" s="8" t="s">
        <v>222</v>
      </c>
      <c r="J201" s="55"/>
      <c r="K201" s="7"/>
      <c r="L201" s="141" t="s">
        <v>221</v>
      </c>
      <c r="M201" s="142"/>
      <c r="N201" s="142"/>
      <c r="O201" s="142"/>
      <c r="P201" s="142"/>
      <c r="Q201" s="143">
        <f>0.47*12*P191</f>
        <v>18002.879999999997</v>
      </c>
      <c r="R201" s="144"/>
      <c r="S201" s="8" t="s">
        <v>222</v>
      </c>
    </row>
    <row r="202" spans="1:19" ht="13.5" customHeight="1" x14ac:dyDescent="0.25">
      <c r="A202" s="9"/>
      <c r="B202" s="145" t="s">
        <v>223</v>
      </c>
      <c r="C202" s="146"/>
      <c r="D202" s="146"/>
      <c r="E202" s="146"/>
      <c r="F202" s="146"/>
      <c r="G202" s="86">
        <f>1.79*12*F191</f>
        <v>68276.327999999994</v>
      </c>
      <c r="H202" s="147"/>
      <c r="I202" s="152" t="s">
        <v>224</v>
      </c>
      <c r="J202" s="56"/>
      <c r="K202" s="9"/>
      <c r="L202" s="145" t="s">
        <v>223</v>
      </c>
      <c r="M202" s="146"/>
      <c r="N202" s="146"/>
      <c r="O202" s="146"/>
      <c r="P202" s="146"/>
      <c r="Q202" s="86">
        <f>1.89*12*P191</f>
        <v>72394.559999999998</v>
      </c>
      <c r="R202" s="147"/>
      <c r="S202" s="152" t="s">
        <v>224</v>
      </c>
    </row>
    <row r="203" spans="1:19" ht="15.75" customHeight="1" x14ac:dyDescent="0.25">
      <c r="A203" s="10"/>
      <c r="B203" s="155" t="s">
        <v>226</v>
      </c>
      <c r="C203" s="156"/>
      <c r="D203" s="156"/>
      <c r="E203" s="156"/>
      <c r="F203" s="156"/>
      <c r="G203" s="148"/>
      <c r="H203" s="149"/>
      <c r="I203" s="153"/>
      <c r="J203" s="56"/>
      <c r="K203" s="10"/>
      <c r="L203" s="155" t="s">
        <v>226</v>
      </c>
      <c r="M203" s="156"/>
      <c r="N203" s="156"/>
      <c r="O203" s="156"/>
      <c r="P203" s="156"/>
      <c r="Q203" s="148"/>
      <c r="R203" s="149"/>
      <c r="S203" s="153"/>
    </row>
    <row r="204" spans="1:19" ht="15.75" customHeight="1" thickBot="1" x14ac:dyDescent="0.3">
      <c r="A204" s="10"/>
      <c r="B204" s="157" t="s">
        <v>227</v>
      </c>
      <c r="C204" s="158"/>
      <c r="D204" s="158"/>
      <c r="E204" s="158"/>
      <c r="F204" s="158"/>
      <c r="G204" s="148"/>
      <c r="H204" s="149"/>
      <c r="I204" s="154"/>
      <c r="J204" s="56"/>
      <c r="K204" s="10"/>
      <c r="L204" s="157" t="s">
        <v>227</v>
      </c>
      <c r="M204" s="158"/>
      <c r="N204" s="158"/>
      <c r="O204" s="158"/>
      <c r="P204" s="158"/>
      <c r="Q204" s="148"/>
      <c r="R204" s="149"/>
      <c r="S204" s="154"/>
    </row>
    <row r="205" spans="1:19" ht="15.75" customHeight="1" thickBot="1" x14ac:dyDescent="0.3">
      <c r="A205" s="10"/>
      <c r="B205" s="159" t="s">
        <v>228</v>
      </c>
      <c r="C205" s="160"/>
      <c r="D205" s="160"/>
      <c r="E205" s="160"/>
      <c r="F205" s="160"/>
      <c r="G205" s="150"/>
      <c r="H205" s="151"/>
      <c r="I205" s="11" t="s">
        <v>229</v>
      </c>
      <c r="J205" s="57"/>
      <c r="K205" s="10"/>
      <c r="L205" s="159" t="s">
        <v>228</v>
      </c>
      <c r="M205" s="160"/>
      <c r="N205" s="160"/>
      <c r="O205" s="160"/>
      <c r="P205" s="160"/>
      <c r="Q205" s="150"/>
      <c r="R205" s="151"/>
      <c r="S205" s="11" t="s">
        <v>229</v>
      </c>
    </row>
    <row r="206" spans="1:19" x14ac:dyDescent="0.25">
      <c r="A206" s="12"/>
      <c r="B206" s="125" t="s">
        <v>230</v>
      </c>
      <c r="C206" s="126"/>
      <c r="D206" s="126"/>
      <c r="E206" s="126"/>
      <c r="F206" s="126"/>
      <c r="G206" s="86">
        <f>0.04*12*F191</f>
        <v>1525.7279999999998</v>
      </c>
      <c r="H206" s="87"/>
      <c r="I206" s="129" t="s">
        <v>220</v>
      </c>
      <c r="J206" s="43"/>
      <c r="K206" s="12"/>
      <c r="L206" s="125" t="s">
        <v>230</v>
      </c>
      <c r="M206" s="126"/>
      <c r="N206" s="126"/>
      <c r="O206" s="126"/>
      <c r="P206" s="126"/>
      <c r="Q206" s="86">
        <f>0.04*12*P191</f>
        <v>1532.1599999999999</v>
      </c>
      <c r="R206" s="87"/>
      <c r="S206" s="129" t="s">
        <v>220</v>
      </c>
    </row>
    <row r="207" spans="1:19" ht="15" customHeight="1" thickBot="1" x14ac:dyDescent="0.3">
      <c r="A207" s="7"/>
      <c r="B207" s="131" t="s">
        <v>231</v>
      </c>
      <c r="C207" s="132"/>
      <c r="D207" s="132"/>
      <c r="E207" s="132"/>
      <c r="F207" s="132"/>
      <c r="G207" s="127"/>
      <c r="H207" s="128"/>
      <c r="I207" s="130"/>
      <c r="J207" s="43"/>
      <c r="K207" s="7"/>
      <c r="L207" s="131" t="s">
        <v>231</v>
      </c>
      <c r="M207" s="132"/>
      <c r="N207" s="132"/>
      <c r="O207" s="132"/>
      <c r="P207" s="132"/>
      <c r="Q207" s="127"/>
      <c r="R207" s="128"/>
      <c r="S207" s="130"/>
    </row>
    <row r="208" spans="1:19" ht="15.75" customHeight="1" thickBot="1" x14ac:dyDescent="0.3">
      <c r="A208" s="13"/>
      <c r="B208" s="133" t="s">
        <v>232</v>
      </c>
      <c r="C208" s="134"/>
      <c r="D208" s="134"/>
      <c r="E208" s="134"/>
      <c r="F208" s="134"/>
      <c r="G208" s="135"/>
      <c r="H208" s="136"/>
      <c r="I208" s="14"/>
      <c r="J208" s="43"/>
      <c r="K208" s="13"/>
      <c r="L208" s="133" t="s">
        <v>232</v>
      </c>
      <c r="M208" s="134"/>
      <c r="N208" s="134"/>
      <c r="O208" s="134"/>
      <c r="P208" s="134"/>
      <c r="Q208" s="135"/>
      <c r="R208" s="136"/>
      <c r="S208" s="14"/>
    </row>
    <row r="209" spans="1:19" ht="28.5" customHeight="1" thickBot="1" x14ac:dyDescent="0.3">
      <c r="A209" s="13"/>
      <c r="B209" s="84" t="s">
        <v>233</v>
      </c>
      <c r="C209" s="85"/>
      <c r="D209" s="85"/>
      <c r="E209" s="85"/>
      <c r="F209" s="85"/>
      <c r="G209" s="86">
        <f>1.21*12*F191</f>
        <v>46153.271999999997</v>
      </c>
      <c r="H209" s="87"/>
      <c r="I209" s="299" t="s">
        <v>603</v>
      </c>
      <c r="J209" s="58"/>
      <c r="K209" s="13"/>
      <c r="L209" s="84" t="s">
        <v>233</v>
      </c>
      <c r="M209" s="85"/>
      <c r="N209" s="85"/>
      <c r="O209" s="85"/>
      <c r="P209" s="85"/>
      <c r="Q209" s="86">
        <f>1.21*12*P191</f>
        <v>46347.839999999997</v>
      </c>
      <c r="R209" s="87"/>
      <c r="S209" s="299" t="s">
        <v>604</v>
      </c>
    </row>
    <row r="210" spans="1:19" ht="26.1" customHeight="1" x14ac:dyDescent="0.25">
      <c r="A210" s="118"/>
      <c r="B210" s="121" t="s">
        <v>226</v>
      </c>
      <c r="C210" s="122"/>
      <c r="D210" s="122"/>
      <c r="E210" s="122"/>
      <c r="F210" s="122"/>
      <c r="G210" s="88"/>
      <c r="H210" s="89"/>
      <c r="I210" s="300"/>
      <c r="J210" s="41"/>
      <c r="K210" s="118"/>
      <c r="L210" s="121" t="s">
        <v>226</v>
      </c>
      <c r="M210" s="122"/>
      <c r="N210" s="122"/>
      <c r="O210" s="122"/>
      <c r="P210" s="122"/>
      <c r="Q210" s="88"/>
      <c r="R210" s="89"/>
      <c r="S210" s="300"/>
    </row>
    <row r="211" spans="1:19" ht="20.100000000000001" customHeight="1" x14ac:dyDescent="0.25">
      <c r="A211" s="119"/>
      <c r="B211" s="121" t="s">
        <v>227</v>
      </c>
      <c r="C211" s="122"/>
      <c r="D211" s="122"/>
      <c r="E211" s="122"/>
      <c r="F211" s="122"/>
      <c r="G211" s="88"/>
      <c r="H211" s="89"/>
      <c r="I211" s="300"/>
      <c r="J211" s="41"/>
      <c r="K211" s="119"/>
      <c r="L211" s="121" t="s">
        <v>227</v>
      </c>
      <c r="M211" s="122"/>
      <c r="N211" s="122"/>
      <c r="O211" s="122"/>
      <c r="P211" s="122"/>
      <c r="Q211" s="88"/>
      <c r="R211" s="89"/>
      <c r="S211" s="300"/>
    </row>
    <row r="212" spans="1:19" ht="22.5" customHeight="1" x14ac:dyDescent="0.25">
      <c r="A212" s="119"/>
      <c r="B212" s="121" t="s">
        <v>228</v>
      </c>
      <c r="C212" s="122"/>
      <c r="D212" s="122"/>
      <c r="E212" s="122"/>
      <c r="F212" s="122"/>
      <c r="G212" s="88"/>
      <c r="H212" s="89"/>
      <c r="I212" s="300"/>
      <c r="J212" s="41"/>
      <c r="K212" s="119"/>
      <c r="L212" s="121" t="s">
        <v>228</v>
      </c>
      <c r="M212" s="122"/>
      <c r="N212" s="122"/>
      <c r="O212" s="122"/>
      <c r="P212" s="122"/>
      <c r="Q212" s="88"/>
      <c r="R212" s="89"/>
      <c r="S212" s="300"/>
    </row>
    <row r="213" spans="1:19" ht="77.45" customHeight="1" thickBot="1" x14ac:dyDescent="0.3">
      <c r="A213" s="120"/>
      <c r="B213" s="123" t="s">
        <v>234</v>
      </c>
      <c r="C213" s="124"/>
      <c r="D213" s="124"/>
      <c r="E213" s="124"/>
      <c r="F213" s="124"/>
      <c r="G213" s="90"/>
      <c r="H213" s="91"/>
      <c r="I213" s="301"/>
      <c r="J213" s="41"/>
      <c r="K213" s="120"/>
      <c r="L213" s="123" t="s">
        <v>234</v>
      </c>
      <c r="M213" s="124"/>
      <c r="N213" s="124"/>
      <c r="O213" s="124"/>
      <c r="P213" s="124"/>
      <c r="Q213" s="90"/>
      <c r="R213" s="91"/>
      <c r="S213" s="301"/>
    </row>
    <row r="214" spans="1:19" ht="0.75" hidden="1" customHeight="1" x14ac:dyDescent="0.25">
      <c r="A214" s="15"/>
      <c r="B214" s="137" t="s">
        <v>248</v>
      </c>
      <c r="C214" s="138"/>
      <c r="D214" s="138"/>
      <c r="E214" s="138"/>
      <c r="F214" s="138"/>
      <c r="G214" s="139"/>
      <c r="H214" s="140"/>
      <c r="I214" s="16"/>
      <c r="J214" s="42"/>
      <c r="K214" s="15"/>
      <c r="L214" s="137" t="s">
        <v>248</v>
      </c>
      <c r="M214" s="138"/>
      <c r="N214" s="138"/>
      <c r="O214" s="138"/>
      <c r="P214" s="138"/>
      <c r="Q214" s="139"/>
      <c r="R214" s="140"/>
      <c r="S214" s="16"/>
    </row>
    <row r="215" spans="1:19" ht="11.25" hidden="1" customHeight="1" x14ac:dyDescent="0.25">
      <c r="A215" s="15"/>
      <c r="B215" s="137" t="s">
        <v>235</v>
      </c>
      <c r="C215" s="138"/>
      <c r="D215" s="138"/>
      <c r="E215" s="138"/>
      <c r="F215" s="138"/>
      <c r="G215" s="139"/>
      <c r="H215" s="140"/>
      <c r="I215" s="16"/>
      <c r="J215" s="43"/>
      <c r="K215" s="15"/>
      <c r="L215" s="137" t="s">
        <v>235</v>
      </c>
      <c r="M215" s="138"/>
      <c r="N215" s="138"/>
      <c r="O215" s="138"/>
      <c r="P215" s="138"/>
      <c r="Q215" s="139"/>
      <c r="R215" s="140"/>
      <c r="S215" s="16"/>
    </row>
    <row r="216" spans="1:19" ht="33.75" customHeight="1" thickBot="1" x14ac:dyDescent="0.3">
      <c r="A216" s="17"/>
      <c r="B216" s="78" t="s">
        <v>237</v>
      </c>
      <c r="C216" s="79"/>
      <c r="D216" s="79"/>
      <c r="E216" s="79"/>
      <c r="F216" s="79"/>
      <c r="G216" s="86">
        <v>6775</v>
      </c>
      <c r="H216" s="87"/>
      <c r="I216" s="108" t="s">
        <v>229</v>
      </c>
      <c r="J216" s="59"/>
      <c r="K216" s="17"/>
      <c r="L216" s="78" t="s">
        <v>237</v>
      </c>
      <c r="M216" s="79"/>
      <c r="N216" s="79"/>
      <c r="O216" s="79"/>
      <c r="P216" s="79"/>
      <c r="Q216" s="86">
        <v>3897</v>
      </c>
      <c r="R216" s="87"/>
      <c r="S216" s="108" t="s">
        <v>229</v>
      </c>
    </row>
    <row r="217" spans="1:19" ht="15.75" customHeight="1" thickBot="1" x14ac:dyDescent="0.3">
      <c r="A217" s="18"/>
      <c r="B217" s="110" t="s">
        <v>238</v>
      </c>
      <c r="C217" s="111"/>
      <c r="D217" s="111"/>
      <c r="E217" s="111"/>
      <c r="F217" s="111"/>
      <c r="G217" s="90"/>
      <c r="H217" s="91"/>
      <c r="I217" s="109"/>
      <c r="J217" s="59"/>
      <c r="K217" s="18"/>
      <c r="L217" s="110" t="s">
        <v>238</v>
      </c>
      <c r="M217" s="111"/>
      <c r="N217" s="111"/>
      <c r="O217" s="111"/>
      <c r="P217" s="111"/>
      <c r="Q217" s="90"/>
      <c r="R217" s="91"/>
      <c r="S217" s="109"/>
    </row>
    <row r="218" spans="1:19" ht="15.75" customHeight="1" thickBot="1" x14ac:dyDescent="0.3">
      <c r="A218" s="19"/>
      <c r="B218" s="112" t="s">
        <v>239</v>
      </c>
      <c r="C218" s="113"/>
      <c r="D218" s="113"/>
      <c r="E218" s="113"/>
      <c r="F218" s="113"/>
      <c r="G218" s="114">
        <f>SUM(G197:H217)</f>
        <v>206263.93599999999</v>
      </c>
      <c r="H218" s="115"/>
      <c r="I218" s="20"/>
      <c r="J218" s="58"/>
      <c r="K218" s="19"/>
      <c r="L218" s="112" t="s">
        <v>239</v>
      </c>
      <c r="M218" s="113"/>
      <c r="N218" s="113"/>
      <c r="O218" s="113"/>
      <c r="P218" s="113"/>
      <c r="Q218" s="114">
        <f>SUM(Q197:R217)</f>
        <v>205376.03999999998</v>
      </c>
      <c r="R218" s="115"/>
      <c r="S218" s="20"/>
    </row>
    <row r="219" spans="1:19" ht="19.5" customHeight="1" thickBot="1" x14ac:dyDescent="0.3">
      <c r="A219" s="21"/>
      <c r="B219" s="101" t="s">
        <v>240</v>
      </c>
      <c r="C219" s="102"/>
      <c r="D219" s="102"/>
      <c r="E219" s="102"/>
      <c r="F219" s="102"/>
      <c r="G219" s="116">
        <f>G218*1.2</f>
        <v>247516.72319999998</v>
      </c>
      <c r="H219" s="117"/>
      <c r="I219" s="22"/>
      <c r="J219" s="45"/>
      <c r="K219" s="21"/>
      <c r="L219" s="101" t="s">
        <v>240</v>
      </c>
      <c r="M219" s="102"/>
      <c r="N219" s="102"/>
      <c r="O219" s="102"/>
      <c r="P219" s="102"/>
      <c r="Q219" s="116">
        <f>Q218*1.2</f>
        <v>246451.24799999996</v>
      </c>
      <c r="R219" s="117"/>
      <c r="S219" s="22"/>
    </row>
    <row r="220" spans="1:19" ht="19.5" customHeight="1" thickBot="1" x14ac:dyDescent="0.3">
      <c r="A220" s="24"/>
      <c r="B220" s="96" t="s">
        <v>443</v>
      </c>
      <c r="C220" s="97"/>
      <c r="D220" s="97"/>
      <c r="E220" s="97"/>
      <c r="F220" s="97"/>
      <c r="G220" s="311">
        <v>246734.4</v>
      </c>
      <c r="H220" s="312"/>
      <c r="I220" s="313"/>
      <c r="J220" s="41"/>
      <c r="K220" s="24"/>
      <c r="L220" s="96" t="s">
        <v>443</v>
      </c>
      <c r="M220" s="97"/>
      <c r="N220" s="97"/>
      <c r="O220" s="97"/>
      <c r="P220" s="97"/>
      <c r="Q220" s="311">
        <v>245557.82</v>
      </c>
      <c r="R220" s="312"/>
      <c r="S220" s="313"/>
    </row>
    <row r="221" spans="1:19" ht="19.5" customHeight="1" thickBot="1" x14ac:dyDescent="0.3">
      <c r="A221" s="19"/>
      <c r="B221" s="101" t="s">
        <v>242</v>
      </c>
      <c r="C221" s="102"/>
      <c r="D221" s="102"/>
      <c r="E221" s="102"/>
      <c r="F221" s="102"/>
      <c r="G221" s="307">
        <v>257150.67</v>
      </c>
      <c r="H221" s="308"/>
      <c r="I221" s="309"/>
      <c r="J221" s="41"/>
      <c r="K221" s="19"/>
      <c r="L221" s="101" t="s">
        <v>242</v>
      </c>
      <c r="M221" s="102"/>
      <c r="N221" s="102"/>
      <c r="O221" s="102"/>
      <c r="P221" s="102"/>
      <c r="Q221" s="307">
        <v>261818.07</v>
      </c>
      <c r="R221" s="308"/>
      <c r="S221" s="309"/>
    </row>
    <row r="222" spans="1:19" ht="19.5" customHeight="1" thickBot="1" x14ac:dyDescent="0.3">
      <c r="A222" s="19"/>
      <c r="B222" s="106" t="s">
        <v>444</v>
      </c>
      <c r="C222" s="107"/>
      <c r="D222" s="107"/>
      <c r="E222" s="107"/>
      <c r="F222" s="208"/>
      <c r="G222" s="307">
        <v>74684.33</v>
      </c>
      <c r="H222" s="308"/>
      <c r="I222" s="309"/>
      <c r="J222" s="64"/>
      <c r="K222" s="19"/>
      <c r="L222" s="106" t="s">
        <v>444</v>
      </c>
      <c r="M222" s="107"/>
      <c r="N222" s="107"/>
      <c r="O222" s="107"/>
      <c r="P222" s="208"/>
      <c r="Q222" s="307">
        <v>85153.06</v>
      </c>
      <c r="R222" s="308"/>
      <c r="S222" s="309"/>
    </row>
    <row r="223" spans="1:19" ht="20.25" customHeight="1" x14ac:dyDescent="0.25">
      <c r="A223" s="4"/>
      <c r="B223" s="349"/>
      <c r="C223" s="349"/>
      <c r="D223" s="349"/>
      <c r="E223" s="349"/>
      <c r="F223" s="349"/>
      <c r="G223" s="349"/>
      <c r="H223" s="349"/>
      <c r="I223" s="349"/>
      <c r="K223" s="4"/>
      <c r="L223" s="350"/>
      <c r="M223" s="350"/>
      <c r="N223" s="350"/>
      <c r="O223" s="350"/>
      <c r="P223" s="350"/>
      <c r="Q223" s="350"/>
      <c r="R223" s="350"/>
      <c r="S223" s="350"/>
    </row>
    <row r="224" spans="1:19" x14ac:dyDescent="0.25">
      <c r="A224" s="4"/>
      <c r="B224" s="339"/>
      <c r="C224" s="339"/>
      <c r="D224" s="339"/>
      <c r="E224" s="339"/>
      <c r="F224" s="339"/>
      <c r="G224" s="339"/>
      <c r="H224" s="339"/>
      <c r="I224" s="339"/>
      <c r="K224" s="4"/>
      <c r="L224" s="339"/>
      <c r="M224" s="339"/>
      <c r="N224" s="339"/>
      <c r="O224" s="339"/>
      <c r="P224" s="339"/>
      <c r="Q224" s="339"/>
      <c r="R224" s="339"/>
      <c r="S224" s="339"/>
    </row>
    <row r="225" spans="1:19" x14ac:dyDescent="0.25">
      <c r="A225" s="4"/>
      <c r="B225" s="339"/>
      <c r="C225" s="339"/>
      <c r="D225" s="339"/>
      <c r="E225" s="339"/>
      <c r="F225" s="339"/>
      <c r="G225" s="339"/>
      <c r="H225" s="339"/>
      <c r="I225" s="339"/>
      <c r="K225" s="4"/>
      <c r="L225" s="26"/>
      <c r="M225" s="26"/>
      <c r="N225" s="26"/>
      <c r="O225" s="26"/>
      <c r="P225" s="26"/>
      <c r="Q225" s="27"/>
      <c r="R225" s="3"/>
      <c r="S225" s="3"/>
    </row>
    <row r="226" spans="1:19" x14ac:dyDescent="0.25">
      <c r="A226" s="4"/>
      <c r="B226" s="339"/>
      <c r="C226" s="339"/>
      <c r="D226" s="339"/>
      <c r="E226" s="339"/>
      <c r="F226" s="339"/>
      <c r="G226" s="339"/>
      <c r="H226" s="339"/>
      <c r="I226" s="339"/>
      <c r="K226" s="4"/>
      <c r="L226" s="26"/>
      <c r="M226" s="26"/>
      <c r="N226" s="26"/>
      <c r="O226" s="26"/>
      <c r="P226" s="26"/>
      <c r="Q226" s="27"/>
      <c r="R226" s="3"/>
      <c r="S226" s="3"/>
    </row>
    <row r="227" spans="1:19" ht="15" customHeight="1" x14ac:dyDescent="0.25"/>
    <row r="228" spans="1:19" x14ac:dyDescent="0.25">
      <c r="A228" s="3"/>
      <c r="B228" s="3"/>
      <c r="C228" s="3"/>
      <c r="D228" s="3"/>
      <c r="E228" s="4" t="s">
        <v>204</v>
      </c>
      <c r="F228" s="3"/>
      <c r="G228" s="3"/>
      <c r="H228" s="3"/>
      <c r="I228" s="3"/>
      <c r="K228" s="3"/>
      <c r="L228" s="3"/>
      <c r="M228" s="3"/>
      <c r="N228" s="3"/>
      <c r="O228" s="4" t="s">
        <v>204</v>
      </c>
      <c r="P228" s="3"/>
      <c r="Q228" s="3"/>
      <c r="R228" s="3"/>
      <c r="S228" s="3"/>
    </row>
    <row r="229" spans="1:19" ht="15" customHeight="1" x14ac:dyDescent="0.25">
      <c r="A229" s="3" t="s">
        <v>205</v>
      </c>
      <c r="B229" s="3"/>
      <c r="C229" s="3"/>
      <c r="D229" s="3" t="s">
        <v>373</v>
      </c>
      <c r="E229" s="3"/>
      <c r="F229" s="3"/>
      <c r="G229" s="3"/>
      <c r="H229" s="3"/>
      <c r="I229" s="3"/>
      <c r="K229" s="3" t="s">
        <v>205</v>
      </c>
      <c r="L229" s="3"/>
      <c r="M229" s="3"/>
      <c r="N229" s="3" t="s">
        <v>374</v>
      </c>
      <c r="O229" s="3"/>
      <c r="P229" s="3"/>
      <c r="Q229" s="3"/>
      <c r="R229" s="3"/>
      <c r="S229" s="3"/>
    </row>
    <row r="230" spans="1:19" ht="15.75" customHeight="1" x14ac:dyDescent="0.25">
      <c r="A230" s="3"/>
      <c r="B230" s="5" t="s">
        <v>440</v>
      </c>
      <c r="C230" s="3"/>
      <c r="D230" s="3"/>
      <c r="E230" s="3"/>
      <c r="F230" s="3"/>
      <c r="G230" s="3"/>
      <c r="H230" s="3"/>
      <c r="I230" s="3"/>
      <c r="K230" s="3"/>
      <c r="L230" s="5" t="s">
        <v>440</v>
      </c>
      <c r="M230" s="3"/>
      <c r="N230" s="3"/>
      <c r="O230" s="3"/>
      <c r="P230" s="3"/>
      <c r="Q230" s="3"/>
      <c r="R230" s="3"/>
      <c r="S230" s="3"/>
    </row>
    <row r="231" spans="1:19" ht="15.75" customHeight="1" x14ac:dyDescent="0.25">
      <c r="A231" s="3"/>
      <c r="B231" s="5" t="s">
        <v>206</v>
      </c>
      <c r="C231" s="3"/>
      <c r="D231" s="3"/>
      <c r="E231" s="3"/>
      <c r="F231" s="3">
        <v>2523.9</v>
      </c>
      <c r="G231" s="3" t="s">
        <v>207</v>
      </c>
      <c r="H231" s="3"/>
      <c r="I231" s="3"/>
      <c r="K231" s="3"/>
      <c r="L231" s="5" t="s">
        <v>206</v>
      </c>
      <c r="M231" s="3"/>
      <c r="N231" s="3"/>
      <c r="O231" s="3"/>
      <c r="P231" s="3">
        <v>2549</v>
      </c>
      <c r="Q231" s="3" t="s">
        <v>207</v>
      </c>
      <c r="R231" s="3"/>
      <c r="S231" s="3"/>
    </row>
    <row r="232" spans="1:19" ht="15.75" customHeight="1" thickBot="1" x14ac:dyDescent="0.3">
      <c r="A232" s="3"/>
      <c r="B232" s="3"/>
      <c r="C232" s="3"/>
      <c r="D232" s="4"/>
      <c r="E232" s="4"/>
      <c r="F232" s="3"/>
      <c r="G232" s="3"/>
      <c r="H232" s="3"/>
      <c r="I232" s="3"/>
      <c r="K232" s="3"/>
      <c r="L232" s="3"/>
      <c r="M232" s="3"/>
      <c r="N232" s="4"/>
      <c r="O232" s="4"/>
      <c r="P232" s="3"/>
      <c r="Q232" s="3"/>
      <c r="R232" s="3"/>
      <c r="S232" s="3"/>
    </row>
    <row r="233" spans="1:19" ht="15.75" customHeight="1" x14ac:dyDescent="0.25">
      <c r="A233" s="175" t="s">
        <v>209</v>
      </c>
      <c r="B233" s="177" t="s">
        <v>210</v>
      </c>
      <c r="C233" s="178"/>
      <c r="D233" s="178"/>
      <c r="E233" s="178"/>
      <c r="F233" s="178"/>
      <c r="G233" s="180" t="s">
        <v>442</v>
      </c>
      <c r="H233" s="181"/>
      <c r="I233" s="175" t="s">
        <v>212</v>
      </c>
      <c r="K233" s="175" t="s">
        <v>209</v>
      </c>
      <c r="L233" s="177" t="s">
        <v>210</v>
      </c>
      <c r="M233" s="178"/>
      <c r="N233" s="178"/>
      <c r="O233" s="178"/>
      <c r="P233" s="178"/>
      <c r="Q233" s="180" t="s">
        <v>442</v>
      </c>
      <c r="R233" s="181"/>
      <c r="S233" s="175" t="s">
        <v>212</v>
      </c>
    </row>
    <row r="234" spans="1:19" ht="35.25" customHeight="1" thickBot="1" x14ac:dyDescent="0.3">
      <c r="A234" s="176"/>
      <c r="B234" s="179"/>
      <c r="C234" s="179"/>
      <c r="D234" s="179"/>
      <c r="E234" s="179"/>
      <c r="F234" s="179"/>
      <c r="G234" s="182"/>
      <c r="H234" s="183"/>
      <c r="I234" s="184"/>
      <c r="K234" s="176"/>
      <c r="L234" s="179"/>
      <c r="M234" s="179"/>
      <c r="N234" s="179"/>
      <c r="O234" s="179"/>
      <c r="P234" s="179"/>
      <c r="Q234" s="182"/>
      <c r="R234" s="183"/>
      <c r="S234" s="184"/>
    </row>
    <row r="235" spans="1:19" ht="15" customHeight="1" x14ac:dyDescent="0.25">
      <c r="A235" s="185" t="s">
        <v>213</v>
      </c>
      <c r="B235" s="187" t="s">
        <v>354</v>
      </c>
      <c r="C235" s="188"/>
      <c r="D235" s="188"/>
      <c r="E235" s="188"/>
      <c r="F235" s="188"/>
      <c r="G235" s="190">
        <v>38867.040000000001</v>
      </c>
      <c r="H235" s="191"/>
      <c r="I235" s="192"/>
      <c r="K235" s="185" t="s">
        <v>213</v>
      </c>
      <c r="L235" s="187" t="s">
        <v>354</v>
      </c>
      <c r="M235" s="188"/>
      <c r="N235" s="188"/>
      <c r="O235" s="188"/>
      <c r="P235" s="188"/>
      <c r="Q235" s="190">
        <v>32322.22</v>
      </c>
      <c r="R235" s="191"/>
      <c r="S235" s="192"/>
    </row>
    <row r="236" spans="1:19" ht="15.75" thickBot="1" x14ac:dyDescent="0.3">
      <c r="A236" s="186"/>
      <c r="B236" s="189"/>
      <c r="C236" s="189"/>
      <c r="D236" s="189"/>
      <c r="E236" s="189"/>
      <c r="F236" s="189"/>
      <c r="G236" s="193"/>
      <c r="H236" s="194"/>
      <c r="I236" s="128"/>
      <c r="K236" s="186"/>
      <c r="L236" s="189"/>
      <c r="M236" s="189"/>
      <c r="N236" s="189"/>
      <c r="O236" s="189"/>
      <c r="P236" s="189"/>
      <c r="Q236" s="193"/>
      <c r="R236" s="194"/>
      <c r="S236" s="128"/>
    </row>
    <row r="237" spans="1:19" x14ac:dyDescent="0.25">
      <c r="A237" s="6"/>
      <c r="B237" s="161" t="s">
        <v>214</v>
      </c>
      <c r="C237" s="162"/>
      <c r="D237" s="162"/>
      <c r="E237" s="162"/>
      <c r="F237" s="162"/>
      <c r="G237" s="163">
        <f>1.37*12*F231</f>
        <v>41492.916000000005</v>
      </c>
      <c r="H237" s="164"/>
      <c r="I237" s="169" t="s">
        <v>215</v>
      </c>
      <c r="K237" s="6"/>
      <c r="L237" s="161" t="s">
        <v>214</v>
      </c>
      <c r="M237" s="162"/>
      <c r="N237" s="162"/>
      <c r="O237" s="162"/>
      <c r="P237" s="162"/>
      <c r="Q237" s="163">
        <f>1.31*12*P231</f>
        <v>40070.28</v>
      </c>
      <c r="R237" s="164"/>
      <c r="S237" s="169" t="s">
        <v>215</v>
      </c>
    </row>
    <row r="238" spans="1:19" ht="15.75" thickBot="1" x14ac:dyDescent="0.3">
      <c r="A238" s="7"/>
      <c r="B238" s="171" t="s">
        <v>216</v>
      </c>
      <c r="C238" s="172"/>
      <c r="D238" s="172"/>
      <c r="E238" s="172"/>
      <c r="F238" s="172"/>
      <c r="G238" s="165"/>
      <c r="H238" s="166"/>
      <c r="I238" s="170"/>
      <c r="K238" s="7"/>
      <c r="L238" s="171" t="s">
        <v>216</v>
      </c>
      <c r="M238" s="172"/>
      <c r="N238" s="172"/>
      <c r="O238" s="172"/>
      <c r="P238" s="172"/>
      <c r="Q238" s="165"/>
      <c r="R238" s="166"/>
      <c r="S238" s="170"/>
    </row>
    <row r="239" spans="1:19" ht="15.75" thickBot="1" x14ac:dyDescent="0.3">
      <c r="A239" s="7"/>
      <c r="B239" s="173" t="s">
        <v>217</v>
      </c>
      <c r="C239" s="174"/>
      <c r="D239" s="174"/>
      <c r="E239" s="174"/>
      <c r="F239" s="174"/>
      <c r="G239" s="167"/>
      <c r="H239" s="168"/>
      <c r="I239" s="8" t="s">
        <v>218</v>
      </c>
      <c r="K239" s="7"/>
      <c r="L239" s="173" t="s">
        <v>217</v>
      </c>
      <c r="M239" s="174"/>
      <c r="N239" s="174"/>
      <c r="O239" s="174"/>
      <c r="P239" s="174"/>
      <c r="Q239" s="167"/>
      <c r="R239" s="168"/>
      <c r="S239" s="8" t="s">
        <v>218</v>
      </c>
    </row>
    <row r="240" spans="1:19" ht="15.75" customHeight="1" thickBot="1" x14ac:dyDescent="0.3">
      <c r="A240" s="7"/>
      <c r="B240" s="141" t="s">
        <v>219</v>
      </c>
      <c r="C240" s="142"/>
      <c r="D240" s="142"/>
      <c r="E240" s="142"/>
      <c r="F240" s="142"/>
      <c r="G240" s="143"/>
      <c r="H240" s="144"/>
      <c r="I240" s="8" t="s">
        <v>220</v>
      </c>
      <c r="K240" s="7"/>
      <c r="L240" s="141" t="s">
        <v>219</v>
      </c>
      <c r="M240" s="142"/>
      <c r="N240" s="142"/>
      <c r="O240" s="142"/>
      <c r="P240" s="142"/>
      <c r="Q240" s="143"/>
      <c r="R240" s="144"/>
      <c r="S240" s="8" t="s">
        <v>220</v>
      </c>
    </row>
    <row r="241" spans="1:19" ht="15.75" customHeight="1" thickBot="1" x14ac:dyDescent="0.3">
      <c r="A241" s="7"/>
      <c r="B241" s="141" t="s">
        <v>221</v>
      </c>
      <c r="C241" s="142"/>
      <c r="D241" s="142"/>
      <c r="E241" s="142"/>
      <c r="F241" s="142"/>
      <c r="G241" s="143">
        <f>0.4*12*F231</f>
        <v>12114.720000000003</v>
      </c>
      <c r="H241" s="144"/>
      <c r="I241" s="8" t="s">
        <v>222</v>
      </c>
      <c r="K241" s="7"/>
      <c r="L241" s="141" t="s">
        <v>221</v>
      </c>
      <c r="M241" s="142"/>
      <c r="N241" s="142"/>
      <c r="O241" s="142"/>
      <c r="P241" s="142"/>
      <c r="Q241" s="143">
        <f>0.4*12*P231</f>
        <v>12235.200000000003</v>
      </c>
      <c r="R241" s="144"/>
      <c r="S241" s="8" t="s">
        <v>222</v>
      </c>
    </row>
    <row r="242" spans="1:19" x14ac:dyDescent="0.25">
      <c r="A242" s="9"/>
      <c r="B242" s="145" t="s">
        <v>223</v>
      </c>
      <c r="C242" s="146"/>
      <c r="D242" s="146"/>
      <c r="E242" s="146"/>
      <c r="F242" s="146"/>
      <c r="G242" s="86">
        <f>1.99*12*F231</f>
        <v>60270.731999999996</v>
      </c>
      <c r="H242" s="147"/>
      <c r="I242" s="152" t="s">
        <v>224</v>
      </c>
      <c r="K242" s="9"/>
      <c r="L242" s="145" t="s">
        <v>223</v>
      </c>
      <c r="M242" s="146"/>
      <c r="N242" s="146"/>
      <c r="O242" s="146"/>
      <c r="P242" s="146"/>
      <c r="Q242" s="86">
        <f>1.91*12*P231</f>
        <v>58423.079999999994</v>
      </c>
      <c r="R242" s="147"/>
      <c r="S242" s="152" t="s">
        <v>224</v>
      </c>
    </row>
    <row r="243" spans="1:19" x14ac:dyDescent="0.25">
      <c r="A243" s="10"/>
      <c r="B243" s="155" t="s">
        <v>226</v>
      </c>
      <c r="C243" s="156"/>
      <c r="D243" s="156"/>
      <c r="E243" s="156"/>
      <c r="F243" s="156"/>
      <c r="G243" s="148"/>
      <c r="H243" s="149"/>
      <c r="I243" s="153"/>
      <c r="K243" s="10"/>
      <c r="L243" s="155" t="s">
        <v>226</v>
      </c>
      <c r="M243" s="156"/>
      <c r="N243" s="156"/>
      <c r="O243" s="156"/>
      <c r="P243" s="156"/>
      <c r="Q243" s="148"/>
      <c r="R243" s="149"/>
      <c r="S243" s="153"/>
    </row>
    <row r="244" spans="1:19" ht="15.75" thickBot="1" x14ac:dyDescent="0.3">
      <c r="A244" s="10"/>
      <c r="B244" s="157" t="s">
        <v>227</v>
      </c>
      <c r="C244" s="158"/>
      <c r="D244" s="158"/>
      <c r="E244" s="158"/>
      <c r="F244" s="158"/>
      <c r="G244" s="148"/>
      <c r="H244" s="149"/>
      <c r="I244" s="154"/>
      <c r="K244" s="10"/>
      <c r="L244" s="157" t="s">
        <v>227</v>
      </c>
      <c r="M244" s="158"/>
      <c r="N244" s="158"/>
      <c r="O244" s="158"/>
      <c r="P244" s="158"/>
      <c r="Q244" s="148"/>
      <c r="R244" s="149"/>
      <c r="S244" s="154"/>
    </row>
    <row r="245" spans="1:19" ht="15.75" customHeight="1" thickBot="1" x14ac:dyDescent="0.3">
      <c r="A245" s="10"/>
      <c r="B245" s="159" t="s">
        <v>228</v>
      </c>
      <c r="C245" s="160"/>
      <c r="D245" s="160"/>
      <c r="E245" s="160"/>
      <c r="F245" s="160"/>
      <c r="G245" s="150"/>
      <c r="H245" s="151"/>
      <c r="I245" s="11" t="s">
        <v>229</v>
      </c>
      <c r="K245" s="10"/>
      <c r="L245" s="159" t="s">
        <v>228</v>
      </c>
      <c r="M245" s="160"/>
      <c r="N245" s="160"/>
      <c r="O245" s="160"/>
      <c r="P245" s="160"/>
      <c r="Q245" s="150"/>
      <c r="R245" s="151"/>
      <c r="S245" s="11" t="s">
        <v>229</v>
      </c>
    </row>
    <row r="246" spans="1:19" ht="15.75" customHeight="1" x14ac:dyDescent="0.25">
      <c r="A246" s="12"/>
      <c r="B246" s="125" t="s">
        <v>230</v>
      </c>
      <c r="C246" s="126"/>
      <c r="D246" s="126"/>
      <c r="E246" s="126"/>
      <c r="F246" s="126"/>
      <c r="G246" s="86">
        <f>0.03*12*F231</f>
        <v>908.60400000000004</v>
      </c>
      <c r="H246" s="87"/>
      <c r="I246" s="129" t="s">
        <v>220</v>
      </c>
      <c r="K246" s="12"/>
      <c r="L246" s="125" t="s">
        <v>230</v>
      </c>
      <c r="M246" s="126"/>
      <c r="N246" s="126"/>
      <c r="O246" s="126"/>
      <c r="P246" s="126"/>
      <c r="Q246" s="86">
        <f>0.03*12*P231</f>
        <v>917.64</v>
      </c>
      <c r="R246" s="87"/>
      <c r="S246" s="129" t="s">
        <v>220</v>
      </c>
    </row>
    <row r="247" spans="1:19" ht="15.75" customHeight="1" thickBot="1" x14ac:dyDescent="0.3">
      <c r="A247" s="7"/>
      <c r="B247" s="131" t="s">
        <v>231</v>
      </c>
      <c r="C247" s="132"/>
      <c r="D247" s="132"/>
      <c r="E247" s="132"/>
      <c r="F247" s="132"/>
      <c r="G247" s="127"/>
      <c r="H247" s="128"/>
      <c r="I247" s="130"/>
      <c r="K247" s="7"/>
      <c r="L247" s="131" t="s">
        <v>231</v>
      </c>
      <c r="M247" s="132"/>
      <c r="N247" s="132"/>
      <c r="O247" s="132"/>
      <c r="P247" s="132"/>
      <c r="Q247" s="127"/>
      <c r="R247" s="128"/>
      <c r="S247" s="130"/>
    </row>
    <row r="248" spans="1:19" ht="15.75" customHeight="1" thickBot="1" x14ac:dyDescent="0.3">
      <c r="A248" s="13"/>
      <c r="B248" s="133" t="s">
        <v>232</v>
      </c>
      <c r="C248" s="134"/>
      <c r="D248" s="134"/>
      <c r="E248" s="134"/>
      <c r="F248" s="134"/>
      <c r="G248" s="135"/>
      <c r="H248" s="136"/>
      <c r="I248" s="14"/>
      <c r="K248" s="13"/>
      <c r="L248" s="133" t="s">
        <v>232</v>
      </c>
      <c r="M248" s="134"/>
      <c r="N248" s="134"/>
      <c r="O248" s="134"/>
      <c r="P248" s="134"/>
      <c r="Q248" s="135"/>
      <c r="R248" s="136"/>
      <c r="S248" s="14"/>
    </row>
    <row r="249" spans="1:19" ht="15.75" thickBot="1" x14ac:dyDescent="0.3">
      <c r="A249" s="13"/>
      <c r="B249" s="84" t="s">
        <v>233</v>
      </c>
      <c r="C249" s="85"/>
      <c r="D249" s="85"/>
      <c r="E249" s="85"/>
      <c r="F249" s="85"/>
      <c r="G249" s="86">
        <f>1.39*12*F231</f>
        <v>42098.652000000002</v>
      </c>
      <c r="H249" s="87"/>
      <c r="I249" s="92" t="s">
        <v>605</v>
      </c>
      <c r="K249" s="13"/>
      <c r="L249" s="84" t="s">
        <v>233</v>
      </c>
      <c r="M249" s="85"/>
      <c r="N249" s="85"/>
      <c r="O249" s="85"/>
      <c r="P249" s="85"/>
      <c r="Q249" s="86">
        <f>1.38*12*P231</f>
        <v>42211.439999999995</v>
      </c>
      <c r="R249" s="87"/>
      <c r="S249" s="92" t="s">
        <v>607</v>
      </c>
    </row>
    <row r="250" spans="1:19" ht="36.75" customHeight="1" x14ac:dyDescent="0.25">
      <c r="A250" s="118"/>
      <c r="B250" s="121" t="s">
        <v>226</v>
      </c>
      <c r="C250" s="122"/>
      <c r="D250" s="122"/>
      <c r="E250" s="122"/>
      <c r="F250" s="122"/>
      <c r="G250" s="88"/>
      <c r="H250" s="89"/>
      <c r="I250" s="93"/>
      <c r="K250" s="118"/>
      <c r="L250" s="121" t="s">
        <v>226</v>
      </c>
      <c r="M250" s="122"/>
      <c r="N250" s="122"/>
      <c r="O250" s="122"/>
      <c r="P250" s="122"/>
      <c r="Q250" s="88"/>
      <c r="R250" s="89"/>
      <c r="S250" s="93"/>
    </row>
    <row r="251" spans="1:19" ht="27.75" customHeight="1" x14ac:dyDescent="0.25">
      <c r="A251" s="119"/>
      <c r="B251" s="121" t="s">
        <v>227</v>
      </c>
      <c r="C251" s="122"/>
      <c r="D251" s="122"/>
      <c r="E251" s="122"/>
      <c r="F251" s="122"/>
      <c r="G251" s="88"/>
      <c r="H251" s="89"/>
      <c r="I251" s="93"/>
      <c r="K251" s="119"/>
      <c r="L251" s="121" t="s">
        <v>227</v>
      </c>
      <c r="M251" s="122"/>
      <c r="N251" s="122"/>
      <c r="O251" s="122"/>
      <c r="P251" s="122"/>
      <c r="Q251" s="88"/>
      <c r="R251" s="89"/>
      <c r="S251" s="93"/>
    </row>
    <row r="252" spans="1:19" ht="33.75" customHeight="1" x14ac:dyDescent="0.25">
      <c r="A252" s="119"/>
      <c r="B252" s="121" t="s">
        <v>228</v>
      </c>
      <c r="C252" s="122"/>
      <c r="D252" s="122"/>
      <c r="E252" s="122"/>
      <c r="F252" s="122"/>
      <c r="G252" s="88"/>
      <c r="H252" s="89"/>
      <c r="I252" s="93"/>
      <c r="K252" s="119"/>
      <c r="L252" s="121" t="s">
        <v>228</v>
      </c>
      <c r="M252" s="122"/>
      <c r="N252" s="122"/>
      <c r="O252" s="122"/>
      <c r="P252" s="122"/>
      <c r="Q252" s="88"/>
      <c r="R252" s="89"/>
      <c r="S252" s="93"/>
    </row>
    <row r="253" spans="1:19" ht="85.5" customHeight="1" thickBot="1" x14ac:dyDescent="0.3">
      <c r="A253" s="120"/>
      <c r="B253" s="123" t="s">
        <v>234</v>
      </c>
      <c r="C253" s="124"/>
      <c r="D253" s="124"/>
      <c r="E253" s="124"/>
      <c r="F253" s="124"/>
      <c r="G253" s="90"/>
      <c r="H253" s="91"/>
      <c r="I253" s="94"/>
      <c r="K253" s="120"/>
      <c r="L253" s="123" t="s">
        <v>234</v>
      </c>
      <c r="M253" s="124"/>
      <c r="N253" s="124"/>
      <c r="O253" s="124"/>
      <c r="P253" s="124"/>
      <c r="Q253" s="90"/>
      <c r="R253" s="91"/>
      <c r="S253" s="94"/>
    </row>
    <row r="254" spans="1:19" ht="1.5" customHeight="1" thickBot="1" x14ac:dyDescent="0.3">
      <c r="A254" s="15"/>
      <c r="B254" s="137" t="s">
        <v>248</v>
      </c>
      <c r="C254" s="138"/>
      <c r="D254" s="138"/>
      <c r="E254" s="138"/>
      <c r="F254" s="138"/>
      <c r="G254" s="139"/>
      <c r="H254" s="140"/>
      <c r="I254" s="16"/>
      <c r="K254" s="15"/>
      <c r="L254" s="137" t="s">
        <v>248</v>
      </c>
      <c r="M254" s="138"/>
      <c r="N254" s="138"/>
      <c r="O254" s="138"/>
      <c r="P254" s="138"/>
      <c r="Q254" s="139"/>
      <c r="R254" s="140"/>
      <c r="S254" s="16"/>
    </row>
    <row r="255" spans="1:19" ht="33" customHeight="1" thickBot="1" x14ac:dyDescent="0.3">
      <c r="A255" s="15"/>
      <c r="B255" s="137" t="s">
        <v>235</v>
      </c>
      <c r="C255" s="138"/>
      <c r="D255" s="138"/>
      <c r="E255" s="138"/>
      <c r="F255" s="138"/>
      <c r="G255" s="139"/>
      <c r="H255" s="140"/>
      <c r="I255" s="16"/>
      <c r="K255" s="15"/>
      <c r="L255" s="137" t="s">
        <v>235</v>
      </c>
      <c r="M255" s="138"/>
      <c r="N255" s="138"/>
      <c r="O255" s="138"/>
      <c r="P255" s="138"/>
      <c r="Q255" s="139"/>
      <c r="R255" s="140"/>
      <c r="S255" s="16"/>
    </row>
    <row r="256" spans="1:19" ht="31.5" customHeight="1" thickBot="1" x14ac:dyDescent="0.3">
      <c r="A256" s="17"/>
      <c r="B256" s="78" t="s">
        <v>237</v>
      </c>
      <c r="C256" s="79"/>
      <c r="D256" s="79"/>
      <c r="E256" s="79"/>
      <c r="F256" s="79"/>
      <c r="G256" s="86">
        <v>6323</v>
      </c>
      <c r="H256" s="87"/>
      <c r="I256" s="108" t="s">
        <v>229</v>
      </c>
      <c r="K256" s="17"/>
      <c r="L256" s="78" t="s">
        <v>237</v>
      </c>
      <c r="M256" s="79"/>
      <c r="N256" s="79"/>
      <c r="O256" s="79"/>
      <c r="P256" s="79"/>
      <c r="Q256" s="86">
        <v>4814</v>
      </c>
      <c r="R256" s="87"/>
      <c r="S256" s="108" t="s">
        <v>229</v>
      </c>
    </row>
    <row r="257" spans="1:19" ht="15.75" thickBot="1" x14ac:dyDescent="0.3">
      <c r="A257" s="18"/>
      <c r="B257" s="110" t="s">
        <v>238</v>
      </c>
      <c r="C257" s="111"/>
      <c r="D257" s="111"/>
      <c r="E257" s="111"/>
      <c r="F257" s="111"/>
      <c r="G257" s="90"/>
      <c r="H257" s="91"/>
      <c r="I257" s="109"/>
      <c r="K257" s="18"/>
      <c r="L257" s="110" t="s">
        <v>238</v>
      </c>
      <c r="M257" s="111"/>
      <c r="N257" s="111"/>
      <c r="O257" s="111"/>
      <c r="P257" s="111"/>
      <c r="Q257" s="90"/>
      <c r="R257" s="91"/>
      <c r="S257" s="109"/>
    </row>
    <row r="258" spans="1:19" ht="15.75" thickBot="1" x14ac:dyDescent="0.3">
      <c r="A258" s="19"/>
      <c r="B258" s="112" t="s">
        <v>239</v>
      </c>
      <c r="C258" s="113"/>
      <c r="D258" s="113"/>
      <c r="E258" s="113"/>
      <c r="F258" s="113"/>
      <c r="G258" s="114">
        <f>SUM(G237:H257)</f>
        <v>163208.62400000001</v>
      </c>
      <c r="H258" s="115"/>
      <c r="I258" s="20"/>
      <c r="K258" s="19"/>
      <c r="L258" s="112" t="s">
        <v>239</v>
      </c>
      <c r="M258" s="113"/>
      <c r="N258" s="113"/>
      <c r="O258" s="113"/>
      <c r="P258" s="113"/>
      <c r="Q258" s="114">
        <f>SUM(Q237:R257)</f>
        <v>158671.63999999998</v>
      </c>
      <c r="R258" s="115"/>
      <c r="S258" s="20"/>
    </row>
    <row r="259" spans="1:19" ht="15.75" thickBot="1" x14ac:dyDescent="0.3">
      <c r="A259" s="21"/>
      <c r="B259" s="101" t="s">
        <v>240</v>
      </c>
      <c r="C259" s="102"/>
      <c r="D259" s="102"/>
      <c r="E259" s="102"/>
      <c r="F259" s="102"/>
      <c r="G259" s="116">
        <f>G258*1.2</f>
        <v>195850.34880000001</v>
      </c>
      <c r="H259" s="117"/>
      <c r="I259" s="22"/>
      <c r="K259" s="21"/>
      <c r="L259" s="101" t="s">
        <v>240</v>
      </c>
      <c r="M259" s="102"/>
      <c r="N259" s="102"/>
      <c r="O259" s="102"/>
      <c r="P259" s="102"/>
      <c r="Q259" s="116">
        <f>Q258*1.2</f>
        <v>190405.96799999996</v>
      </c>
      <c r="R259" s="117"/>
      <c r="S259" s="22"/>
    </row>
    <row r="260" spans="1:19" ht="19.5" customHeight="1" thickBot="1" x14ac:dyDescent="0.3">
      <c r="A260" s="24"/>
      <c r="B260" s="96" t="s">
        <v>443</v>
      </c>
      <c r="C260" s="97"/>
      <c r="D260" s="97"/>
      <c r="E260" s="97"/>
      <c r="F260" s="97"/>
      <c r="G260" s="311">
        <v>195706.77</v>
      </c>
      <c r="H260" s="312"/>
      <c r="I260" s="313"/>
      <c r="K260" s="24"/>
      <c r="L260" s="96" t="s">
        <v>443</v>
      </c>
      <c r="M260" s="97"/>
      <c r="N260" s="97"/>
      <c r="O260" s="97"/>
      <c r="P260" s="97"/>
      <c r="Q260" s="311">
        <v>186645.21</v>
      </c>
      <c r="R260" s="312"/>
      <c r="S260" s="313"/>
    </row>
    <row r="261" spans="1:19" ht="19.5" customHeight="1" thickBot="1" x14ac:dyDescent="0.3">
      <c r="A261" s="19"/>
      <c r="B261" s="101" t="s">
        <v>242</v>
      </c>
      <c r="C261" s="102"/>
      <c r="D261" s="102"/>
      <c r="E261" s="102"/>
      <c r="F261" s="102"/>
      <c r="G261" s="307">
        <v>204126.9</v>
      </c>
      <c r="H261" s="308"/>
      <c r="I261" s="309"/>
      <c r="K261" s="19"/>
      <c r="L261" s="101" t="s">
        <v>242</v>
      </c>
      <c r="M261" s="102"/>
      <c r="N261" s="102"/>
      <c r="O261" s="102"/>
      <c r="P261" s="102"/>
      <c r="Q261" s="307">
        <v>197698.02</v>
      </c>
      <c r="R261" s="308"/>
      <c r="S261" s="309"/>
    </row>
    <row r="262" spans="1:19" ht="19.5" customHeight="1" thickBot="1" x14ac:dyDescent="0.3">
      <c r="A262" s="19"/>
      <c r="B262" s="101" t="s">
        <v>444</v>
      </c>
      <c r="C262" s="102"/>
      <c r="D262" s="102"/>
      <c r="E262" s="102"/>
      <c r="F262" s="102"/>
      <c r="G262" s="343">
        <v>30446.91</v>
      </c>
      <c r="H262" s="344"/>
      <c r="I262" s="345"/>
      <c r="K262" s="19"/>
      <c r="L262" s="106" t="s">
        <v>444</v>
      </c>
      <c r="M262" s="107"/>
      <c r="N262" s="107"/>
      <c r="O262" s="107"/>
      <c r="P262" s="107"/>
      <c r="Q262" s="307">
        <v>21269.360000000001</v>
      </c>
      <c r="R262" s="308"/>
      <c r="S262" s="309"/>
    </row>
    <row r="263" spans="1:19" ht="34.5" customHeight="1" x14ac:dyDescent="0.25">
      <c r="A263" s="4"/>
      <c r="B263" s="346"/>
      <c r="C263" s="347"/>
      <c r="D263" s="347"/>
      <c r="E263" s="347"/>
      <c r="F263" s="347"/>
      <c r="G263" s="347"/>
      <c r="H263" s="347"/>
      <c r="I263" s="348"/>
      <c r="K263" s="4"/>
      <c r="L263" s="339" t="s">
        <v>606</v>
      </c>
      <c r="M263" s="339"/>
      <c r="N263" s="339"/>
      <c r="O263" s="339"/>
      <c r="P263" s="339"/>
      <c r="Q263" s="339"/>
      <c r="R263" s="339"/>
      <c r="S263" s="339"/>
    </row>
    <row r="264" spans="1:19" x14ac:dyDescent="0.25">
      <c r="A264" s="4"/>
      <c r="B264" s="26"/>
      <c r="C264" s="26"/>
      <c r="D264" s="26"/>
      <c r="E264" s="26"/>
      <c r="F264" s="26"/>
      <c r="G264" s="27"/>
      <c r="H264" s="3"/>
      <c r="I264" s="3"/>
      <c r="K264" s="4"/>
      <c r="L264" s="339"/>
      <c r="M264" s="339"/>
      <c r="N264" s="339"/>
      <c r="O264" s="339"/>
      <c r="P264" s="339"/>
      <c r="Q264" s="339"/>
      <c r="R264" s="339"/>
      <c r="S264" s="339"/>
    </row>
    <row r="265" spans="1:19" x14ac:dyDescent="0.25">
      <c r="A265" s="4"/>
      <c r="B265" s="26"/>
      <c r="C265" s="26"/>
      <c r="D265" s="26"/>
      <c r="E265" s="26"/>
      <c r="F265" s="26"/>
      <c r="G265" s="27"/>
      <c r="H265" s="3"/>
      <c r="I265" s="3"/>
      <c r="K265" s="4"/>
      <c r="L265" s="339"/>
      <c r="M265" s="339"/>
      <c r="N265" s="339"/>
      <c r="O265" s="339"/>
      <c r="P265" s="339"/>
      <c r="Q265" s="339"/>
      <c r="R265" s="339"/>
      <c r="S265" s="339"/>
    </row>
    <row r="266" spans="1:19" x14ac:dyDescent="0.25">
      <c r="E266" s="50"/>
      <c r="I266" s="5"/>
      <c r="O266" s="50"/>
      <c r="S266" s="5"/>
    </row>
    <row r="267" spans="1:19" x14ac:dyDescent="0.25">
      <c r="A267" s="3"/>
      <c r="I267" s="5"/>
      <c r="K267" s="3"/>
      <c r="S267" s="5"/>
    </row>
    <row r="268" spans="1:19" ht="15.75" x14ac:dyDescent="0.25">
      <c r="A268" s="3"/>
      <c r="C268" s="30"/>
      <c r="K268" s="3"/>
      <c r="M268" s="30"/>
    </row>
    <row r="269" spans="1:19" ht="15.75" x14ac:dyDescent="0.25">
      <c r="A269" s="30"/>
      <c r="C269" s="30"/>
      <c r="K269" s="30"/>
      <c r="M269" s="30"/>
    </row>
  </sheetData>
  <mergeCells count="770">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B28:F28"/>
    <mergeCell ref="G28:H29"/>
    <mergeCell ref="I28:I29"/>
    <mergeCell ref="L28:P28"/>
    <mergeCell ref="Q28:R29"/>
    <mergeCell ref="S28:S29"/>
    <mergeCell ref="B29:F29"/>
    <mergeCell ref="L29:P29"/>
    <mergeCell ref="B26:F26"/>
    <mergeCell ref="G26:H26"/>
    <mergeCell ref="L26:P26"/>
    <mergeCell ref="Q26:R26"/>
    <mergeCell ref="B27:F27"/>
    <mergeCell ref="G27:H27"/>
    <mergeCell ref="L27:P27"/>
    <mergeCell ref="Q27:R27"/>
    <mergeCell ref="B32:F32"/>
    <mergeCell ref="G32:I32"/>
    <mergeCell ref="L32:P32"/>
    <mergeCell ref="Q32:S32"/>
    <mergeCell ref="B33:F33"/>
    <mergeCell ref="G33:I33"/>
    <mergeCell ref="L33:P33"/>
    <mergeCell ref="Q33:S33"/>
    <mergeCell ref="B30:F30"/>
    <mergeCell ref="G30:H30"/>
    <mergeCell ref="L30:P30"/>
    <mergeCell ref="Q30:R30"/>
    <mergeCell ref="B31:F31"/>
    <mergeCell ref="G31:H31"/>
    <mergeCell ref="L31:P31"/>
    <mergeCell ref="Q31:R31"/>
    <mergeCell ref="B34:F34"/>
    <mergeCell ref="G34:I34"/>
    <mergeCell ref="L34:P34"/>
    <mergeCell ref="Q34:S34"/>
    <mergeCell ref="B35:I35"/>
    <mergeCell ref="A44:A45"/>
    <mergeCell ref="B44:F45"/>
    <mergeCell ref="G44:H45"/>
    <mergeCell ref="I44:I45"/>
    <mergeCell ref="K44:K45"/>
    <mergeCell ref="L44:P45"/>
    <mergeCell ref="Q44:R45"/>
    <mergeCell ref="S44:S45"/>
    <mergeCell ref="A46:A47"/>
    <mergeCell ref="B46:F47"/>
    <mergeCell ref="G46:I47"/>
    <mergeCell ref="K46:K47"/>
    <mergeCell ref="L46:P47"/>
    <mergeCell ref="Q46:S47"/>
    <mergeCell ref="B48:F48"/>
    <mergeCell ref="G48:H50"/>
    <mergeCell ref="I48:I49"/>
    <mergeCell ref="L48:P48"/>
    <mergeCell ref="Q48:R50"/>
    <mergeCell ref="S48:S49"/>
    <mergeCell ref="B49:F49"/>
    <mergeCell ref="L49:P49"/>
    <mergeCell ref="B50:F50"/>
    <mergeCell ref="L50:P50"/>
    <mergeCell ref="B55:F55"/>
    <mergeCell ref="L55:P55"/>
    <mergeCell ref="B51:F51"/>
    <mergeCell ref="G51:H51"/>
    <mergeCell ref="L51:P51"/>
    <mergeCell ref="Q51:R51"/>
    <mergeCell ref="B52:F52"/>
    <mergeCell ref="G52:H52"/>
    <mergeCell ref="L52:P52"/>
    <mergeCell ref="Q52:R52"/>
    <mergeCell ref="B53:F53"/>
    <mergeCell ref="G53:H56"/>
    <mergeCell ref="I53:I55"/>
    <mergeCell ref="L53:P53"/>
    <mergeCell ref="B60:F60"/>
    <mergeCell ref="G60:H64"/>
    <mergeCell ref="I60:I64"/>
    <mergeCell ref="L60:P60"/>
    <mergeCell ref="Q53:R56"/>
    <mergeCell ref="B56:F56"/>
    <mergeCell ref="L56:P56"/>
    <mergeCell ref="Q60:R64"/>
    <mergeCell ref="S60:S64"/>
    <mergeCell ref="Q57:R58"/>
    <mergeCell ref="S57:S58"/>
    <mergeCell ref="B58:F58"/>
    <mergeCell ref="L58:P58"/>
    <mergeCell ref="B59:F59"/>
    <mergeCell ref="G59:H59"/>
    <mergeCell ref="L59:P59"/>
    <mergeCell ref="Q59:R59"/>
    <mergeCell ref="B57:F57"/>
    <mergeCell ref="G57:H58"/>
    <mergeCell ref="I57:I58"/>
    <mergeCell ref="L57:P57"/>
    <mergeCell ref="S53:S55"/>
    <mergeCell ref="B54:F54"/>
    <mergeCell ref="L54:P54"/>
    <mergeCell ref="A61:A64"/>
    <mergeCell ref="B61:F61"/>
    <mergeCell ref="K61:K64"/>
    <mergeCell ref="L61:P61"/>
    <mergeCell ref="B62:F62"/>
    <mergeCell ref="L62:P62"/>
    <mergeCell ref="B63:F63"/>
    <mergeCell ref="L63:P63"/>
    <mergeCell ref="B64:F64"/>
    <mergeCell ref="L64:P64"/>
    <mergeCell ref="B67:F67"/>
    <mergeCell ref="G67:H68"/>
    <mergeCell ref="I67:I68"/>
    <mergeCell ref="L67:P67"/>
    <mergeCell ref="Q67:R68"/>
    <mergeCell ref="S67:S68"/>
    <mergeCell ref="B68:F68"/>
    <mergeCell ref="L68:P68"/>
    <mergeCell ref="B65:F65"/>
    <mergeCell ref="G65:H65"/>
    <mergeCell ref="L65:P65"/>
    <mergeCell ref="Q65:R65"/>
    <mergeCell ref="B66:F66"/>
    <mergeCell ref="G66:H66"/>
    <mergeCell ref="L66:P66"/>
    <mergeCell ref="Q66:R66"/>
    <mergeCell ref="B71:F71"/>
    <mergeCell ref="G71:I71"/>
    <mergeCell ref="L71:P71"/>
    <mergeCell ref="Q71:S71"/>
    <mergeCell ref="B72:F72"/>
    <mergeCell ref="G72:I72"/>
    <mergeCell ref="L72:P72"/>
    <mergeCell ref="Q72:S72"/>
    <mergeCell ref="B69:F69"/>
    <mergeCell ref="G69:H69"/>
    <mergeCell ref="L69:P69"/>
    <mergeCell ref="Q69:R69"/>
    <mergeCell ref="B70:F70"/>
    <mergeCell ref="G70:H70"/>
    <mergeCell ref="L70:P70"/>
    <mergeCell ref="Q70:R70"/>
    <mergeCell ref="B73:F73"/>
    <mergeCell ref="G73:I73"/>
    <mergeCell ref="L73:P73"/>
    <mergeCell ref="Q73:S73"/>
    <mergeCell ref="L74:S74"/>
    <mergeCell ref="A81:A82"/>
    <mergeCell ref="B81:F82"/>
    <mergeCell ref="G81:H82"/>
    <mergeCell ref="I81:I82"/>
    <mergeCell ref="K81:K82"/>
    <mergeCell ref="L81:P82"/>
    <mergeCell ref="Q81:R82"/>
    <mergeCell ref="S81:S82"/>
    <mergeCell ref="A83:A84"/>
    <mergeCell ref="B83:F84"/>
    <mergeCell ref="G83:I84"/>
    <mergeCell ref="K83:K84"/>
    <mergeCell ref="L83:P84"/>
    <mergeCell ref="Q83:S84"/>
    <mergeCell ref="B85:F85"/>
    <mergeCell ref="G85:H87"/>
    <mergeCell ref="I85:I86"/>
    <mergeCell ref="L85:P85"/>
    <mergeCell ref="Q85:R87"/>
    <mergeCell ref="S85:S86"/>
    <mergeCell ref="B86:F86"/>
    <mergeCell ref="L86:P86"/>
    <mergeCell ref="B87:F87"/>
    <mergeCell ref="L87:P87"/>
    <mergeCell ref="B92:F92"/>
    <mergeCell ref="L92:P92"/>
    <mergeCell ref="B88:F88"/>
    <mergeCell ref="G88:H88"/>
    <mergeCell ref="L88:P88"/>
    <mergeCell ref="Q88:R88"/>
    <mergeCell ref="B89:F89"/>
    <mergeCell ref="G89:H89"/>
    <mergeCell ref="L89:P89"/>
    <mergeCell ref="Q89:R89"/>
    <mergeCell ref="B90:F90"/>
    <mergeCell ref="G90:H93"/>
    <mergeCell ref="I90:I92"/>
    <mergeCell ref="L90:P90"/>
    <mergeCell ref="B97:F97"/>
    <mergeCell ref="G97:H101"/>
    <mergeCell ref="I97:I101"/>
    <mergeCell ref="L97:P97"/>
    <mergeCell ref="Q90:R93"/>
    <mergeCell ref="B93:F93"/>
    <mergeCell ref="L93:P93"/>
    <mergeCell ref="Q97:R101"/>
    <mergeCell ref="S97:S101"/>
    <mergeCell ref="Q94:R95"/>
    <mergeCell ref="S94:S95"/>
    <mergeCell ref="B95:F95"/>
    <mergeCell ref="L95:P95"/>
    <mergeCell ref="B96:F96"/>
    <mergeCell ref="G96:H96"/>
    <mergeCell ref="L96:P96"/>
    <mergeCell ref="Q96:R96"/>
    <mergeCell ref="B94:F94"/>
    <mergeCell ref="G94:H95"/>
    <mergeCell ref="I94:I95"/>
    <mergeCell ref="L94:P94"/>
    <mergeCell ref="S90:S92"/>
    <mergeCell ref="B91:F91"/>
    <mergeCell ref="L91:P91"/>
    <mergeCell ref="A98:A101"/>
    <mergeCell ref="B98:F98"/>
    <mergeCell ref="K98:K101"/>
    <mergeCell ref="L98:P98"/>
    <mergeCell ref="B99:F99"/>
    <mergeCell ref="L99:P99"/>
    <mergeCell ref="B100:F100"/>
    <mergeCell ref="L100:P100"/>
    <mergeCell ref="B101:F101"/>
    <mergeCell ref="L101:P101"/>
    <mergeCell ref="B104:F104"/>
    <mergeCell ref="G104:H105"/>
    <mergeCell ref="I104:I105"/>
    <mergeCell ref="L104:P104"/>
    <mergeCell ref="Q104:R105"/>
    <mergeCell ref="S104:S105"/>
    <mergeCell ref="B105:F105"/>
    <mergeCell ref="L105:P105"/>
    <mergeCell ref="B102:F102"/>
    <mergeCell ref="G102:H102"/>
    <mergeCell ref="L102:P102"/>
    <mergeCell ref="Q102:R102"/>
    <mergeCell ref="B103:F103"/>
    <mergeCell ref="G103:H103"/>
    <mergeCell ref="L103:P103"/>
    <mergeCell ref="Q103:R103"/>
    <mergeCell ref="B108:F108"/>
    <mergeCell ref="G108:I108"/>
    <mergeCell ref="L108:P108"/>
    <mergeCell ref="Q108:S108"/>
    <mergeCell ref="B109:F109"/>
    <mergeCell ref="G109:I109"/>
    <mergeCell ref="L109:P109"/>
    <mergeCell ref="Q109:S109"/>
    <mergeCell ref="B106:F106"/>
    <mergeCell ref="G106:H106"/>
    <mergeCell ref="L106:P106"/>
    <mergeCell ref="Q106:R106"/>
    <mergeCell ref="B107:F107"/>
    <mergeCell ref="G107:H107"/>
    <mergeCell ref="L107:P107"/>
    <mergeCell ref="Q107:R107"/>
    <mergeCell ref="Q117:R118"/>
    <mergeCell ref="S117:S118"/>
    <mergeCell ref="A119:A120"/>
    <mergeCell ref="B119:F120"/>
    <mergeCell ref="G119:I120"/>
    <mergeCell ref="K119:K120"/>
    <mergeCell ref="L119:P120"/>
    <mergeCell ref="Q119:S120"/>
    <mergeCell ref="B110:F110"/>
    <mergeCell ref="G110:I110"/>
    <mergeCell ref="L110:P110"/>
    <mergeCell ref="Q110:S110"/>
    <mergeCell ref="A117:A118"/>
    <mergeCell ref="B117:F118"/>
    <mergeCell ref="G117:H118"/>
    <mergeCell ref="I117:I118"/>
    <mergeCell ref="K117:K118"/>
    <mergeCell ref="L117:P118"/>
    <mergeCell ref="B121:F121"/>
    <mergeCell ref="G121:H123"/>
    <mergeCell ref="I121:I122"/>
    <mergeCell ref="L121:P121"/>
    <mergeCell ref="Q121:R123"/>
    <mergeCell ref="S121:S122"/>
    <mergeCell ref="B122:F122"/>
    <mergeCell ref="L122:P122"/>
    <mergeCell ref="B123:F123"/>
    <mergeCell ref="L123:P123"/>
    <mergeCell ref="B128:F128"/>
    <mergeCell ref="L128:P128"/>
    <mergeCell ref="B124:F124"/>
    <mergeCell ref="G124:H124"/>
    <mergeCell ref="L124:P124"/>
    <mergeCell ref="Q124:R124"/>
    <mergeCell ref="B125:F125"/>
    <mergeCell ref="G125:H125"/>
    <mergeCell ref="L125:P125"/>
    <mergeCell ref="Q125:R125"/>
    <mergeCell ref="B126:F126"/>
    <mergeCell ref="G126:H129"/>
    <mergeCell ref="I126:I128"/>
    <mergeCell ref="L126:P126"/>
    <mergeCell ref="B133:F133"/>
    <mergeCell ref="G133:H137"/>
    <mergeCell ref="I133:I137"/>
    <mergeCell ref="L133:P133"/>
    <mergeCell ref="Q126:R129"/>
    <mergeCell ref="B129:F129"/>
    <mergeCell ref="L129:P129"/>
    <mergeCell ref="Q133:R137"/>
    <mergeCell ref="S133:S137"/>
    <mergeCell ref="Q130:R131"/>
    <mergeCell ref="S130:S131"/>
    <mergeCell ref="B131:F131"/>
    <mergeCell ref="L131:P131"/>
    <mergeCell ref="B132:F132"/>
    <mergeCell ref="G132:H132"/>
    <mergeCell ref="L132:P132"/>
    <mergeCell ref="Q132:R132"/>
    <mergeCell ref="B130:F130"/>
    <mergeCell ref="G130:H131"/>
    <mergeCell ref="I130:I131"/>
    <mergeCell ref="L130:P130"/>
    <mergeCell ref="S126:S128"/>
    <mergeCell ref="B127:F127"/>
    <mergeCell ref="L127:P127"/>
    <mergeCell ref="A134:A137"/>
    <mergeCell ref="B134:F134"/>
    <mergeCell ref="K134:K137"/>
    <mergeCell ref="L134:P134"/>
    <mergeCell ref="B135:F135"/>
    <mergeCell ref="L135:P135"/>
    <mergeCell ref="B136:F136"/>
    <mergeCell ref="L136:P136"/>
    <mergeCell ref="B137:F137"/>
    <mergeCell ref="L137:P137"/>
    <mergeCell ref="B140:F140"/>
    <mergeCell ref="G140:H141"/>
    <mergeCell ref="I140:I141"/>
    <mergeCell ref="L140:P140"/>
    <mergeCell ref="Q140:R141"/>
    <mergeCell ref="S140:S141"/>
    <mergeCell ref="B141:F141"/>
    <mergeCell ref="L141:P141"/>
    <mergeCell ref="B138:F138"/>
    <mergeCell ref="G138:H138"/>
    <mergeCell ref="L138:P138"/>
    <mergeCell ref="Q138:R138"/>
    <mergeCell ref="B139:F139"/>
    <mergeCell ref="G139:H139"/>
    <mergeCell ref="L139:P139"/>
    <mergeCell ref="Q139:R139"/>
    <mergeCell ref="B144:F144"/>
    <mergeCell ref="G144:I144"/>
    <mergeCell ref="L144:P144"/>
    <mergeCell ref="Q144:S144"/>
    <mergeCell ref="B145:F145"/>
    <mergeCell ref="G145:I145"/>
    <mergeCell ref="L145:P145"/>
    <mergeCell ref="Q145:S145"/>
    <mergeCell ref="B142:F142"/>
    <mergeCell ref="G142:H142"/>
    <mergeCell ref="L142:P142"/>
    <mergeCell ref="Q142:R142"/>
    <mergeCell ref="B143:F143"/>
    <mergeCell ref="G143:H143"/>
    <mergeCell ref="L143:P143"/>
    <mergeCell ref="Q143:R143"/>
    <mergeCell ref="Q155:R156"/>
    <mergeCell ref="S155:S156"/>
    <mergeCell ref="A157:A158"/>
    <mergeCell ref="B157:F158"/>
    <mergeCell ref="G157:I158"/>
    <mergeCell ref="K157:K158"/>
    <mergeCell ref="L157:P158"/>
    <mergeCell ref="Q157:S158"/>
    <mergeCell ref="B146:F146"/>
    <mergeCell ref="G146:I146"/>
    <mergeCell ref="L146:P146"/>
    <mergeCell ref="Q146:S146"/>
    <mergeCell ref="A155:A156"/>
    <mergeCell ref="B155:F156"/>
    <mergeCell ref="G155:H156"/>
    <mergeCell ref="I155:I156"/>
    <mergeCell ref="K155:K156"/>
    <mergeCell ref="L155:P156"/>
    <mergeCell ref="B159:F159"/>
    <mergeCell ref="G159:H161"/>
    <mergeCell ref="I159:I160"/>
    <mergeCell ref="L159:P159"/>
    <mergeCell ref="Q159:R161"/>
    <mergeCell ref="S159:S160"/>
    <mergeCell ref="B160:F160"/>
    <mergeCell ref="L160:P160"/>
    <mergeCell ref="B161:F161"/>
    <mergeCell ref="L161:P161"/>
    <mergeCell ref="B166:F166"/>
    <mergeCell ref="L166:P166"/>
    <mergeCell ref="B162:F162"/>
    <mergeCell ref="G162:H162"/>
    <mergeCell ref="L162:P162"/>
    <mergeCell ref="Q162:R162"/>
    <mergeCell ref="B163:F163"/>
    <mergeCell ref="G163:H163"/>
    <mergeCell ref="L163:P163"/>
    <mergeCell ref="Q163:R163"/>
    <mergeCell ref="B164:F164"/>
    <mergeCell ref="G164:H167"/>
    <mergeCell ref="I164:I166"/>
    <mergeCell ref="L164:P164"/>
    <mergeCell ref="B171:F171"/>
    <mergeCell ref="G171:H175"/>
    <mergeCell ref="I171:I175"/>
    <mergeCell ref="L171:P171"/>
    <mergeCell ref="Q164:R167"/>
    <mergeCell ref="B167:F167"/>
    <mergeCell ref="L167:P167"/>
    <mergeCell ref="Q171:R175"/>
    <mergeCell ref="S171:S175"/>
    <mergeCell ref="Q168:R169"/>
    <mergeCell ref="S168:S169"/>
    <mergeCell ref="B169:F169"/>
    <mergeCell ref="L169:P169"/>
    <mergeCell ref="B170:F170"/>
    <mergeCell ref="G170:H170"/>
    <mergeCell ref="L170:P170"/>
    <mergeCell ref="Q170:R170"/>
    <mergeCell ref="B168:F168"/>
    <mergeCell ref="G168:H169"/>
    <mergeCell ref="I168:I169"/>
    <mergeCell ref="L168:P168"/>
    <mergeCell ref="S164:S166"/>
    <mergeCell ref="B165:F165"/>
    <mergeCell ref="L165:P165"/>
    <mergeCell ref="A172:A175"/>
    <mergeCell ref="B172:F172"/>
    <mergeCell ref="K172:K175"/>
    <mergeCell ref="L172:P172"/>
    <mergeCell ref="B173:F173"/>
    <mergeCell ref="L173:P173"/>
    <mergeCell ref="B174:F174"/>
    <mergeCell ref="L174:P174"/>
    <mergeCell ref="B175:F175"/>
    <mergeCell ref="L175:P175"/>
    <mergeCell ref="S178:S179"/>
    <mergeCell ref="B179:F179"/>
    <mergeCell ref="L179:P179"/>
    <mergeCell ref="B176:F176"/>
    <mergeCell ref="G176:H176"/>
    <mergeCell ref="L176:P176"/>
    <mergeCell ref="Q176:R176"/>
    <mergeCell ref="B177:F177"/>
    <mergeCell ref="G177:H177"/>
    <mergeCell ref="L177:P177"/>
    <mergeCell ref="Q177:R177"/>
    <mergeCell ref="B180:F180"/>
    <mergeCell ref="G180:H180"/>
    <mergeCell ref="L180:P180"/>
    <mergeCell ref="Q180:R180"/>
    <mergeCell ref="B181:F181"/>
    <mergeCell ref="G181:H181"/>
    <mergeCell ref="L181:P181"/>
    <mergeCell ref="Q181:R181"/>
    <mergeCell ref="B178:F178"/>
    <mergeCell ref="G178:H179"/>
    <mergeCell ref="I178:I179"/>
    <mergeCell ref="L178:P178"/>
    <mergeCell ref="Q178:R179"/>
    <mergeCell ref="B184:F184"/>
    <mergeCell ref="G184:I184"/>
    <mergeCell ref="L184:P184"/>
    <mergeCell ref="Q184:S184"/>
    <mergeCell ref="B185:I185"/>
    <mergeCell ref="L185:S185"/>
    <mergeCell ref="B182:F182"/>
    <mergeCell ref="G182:I182"/>
    <mergeCell ref="L182:P182"/>
    <mergeCell ref="Q182:S182"/>
    <mergeCell ref="B183:F183"/>
    <mergeCell ref="G183:I183"/>
    <mergeCell ref="L183:P183"/>
    <mergeCell ref="Q183:S183"/>
    <mergeCell ref="Q193:R194"/>
    <mergeCell ref="S193:S194"/>
    <mergeCell ref="A195:A196"/>
    <mergeCell ref="B195:F196"/>
    <mergeCell ref="G195:I196"/>
    <mergeCell ref="K195:K196"/>
    <mergeCell ref="L195:P196"/>
    <mergeCell ref="Q195:S196"/>
    <mergeCell ref="A193:A194"/>
    <mergeCell ref="B193:F194"/>
    <mergeCell ref="G193:H194"/>
    <mergeCell ref="I193:I194"/>
    <mergeCell ref="K193:K194"/>
    <mergeCell ref="L193:P194"/>
    <mergeCell ref="B197:F197"/>
    <mergeCell ref="G197:H199"/>
    <mergeCell ref="I197:I198"/>
    <mergeCell ref="L197:P197"/>
    <mergeCell ref="Q197:R199"/>
    <mergeCell ref="S197:S198"/>
    <mergeCell ref="B198:F198"/>
    <mergeCell ref="L198:P198"/>
    <mergeCell ref="B199:F199"/>
    <mergeCell ref="L199:P199"/>
    <mergeCell ref="B204:F204"/>
    <mergeCell ref="L204:P204"/>
    <mergeCell ref="B200:F200"/>
    <mergeCell ref="G200:H200"/>
    <mergeCell ref="L200:P200"/>
    <mergeCell ref="Q200:R200"/>
    <mergeCell ref="B201:F201"/>
    <mergeCell ref="G201:H201"/>
    <mergeCell ref="L201:P201"/>
    <mergeCell ref="Q201:R201"/>
    <mergeCell ref="B202:F202"/>
    <mergeCell ref="G202:H205"/>
    <mergeCell ref="I202:I204"/>
    <mergeCell ref="L202:P202"/>
    <mergeCell ref="B209:F209"/>
    <mergeCell ref="G209:H213"/>
    <mergeCell ref="I209:I213"/>
    <mergeCell ref="L209:P209"/>
    <mergeCell ref="Q202:R205"/>
    <mergeCell ref="B205:F205"/>
    <mergeCell ref="L205:P205"/>
    <mergeCell ref="Q209:R213"/>
    <mergeCell ref="S209:S213"/>
    <mergeCell ref="Q206:R207"/>
    <mergeCell ref="S206:S207"/>
    <mergeCell ref="B207:F207"/>
    <mergeCell ref="L207:P207"/>
    <mergeCell ref="B208:F208"/>
    <mergeCell ref="G208:H208"/>
    <mergeCell ref="L208:P208"/>
    <mergeCell ref="Q208:R208"/>
    <mergeCell ref="B206:F206"/>
    <mergeCell ref="G206:H207"/>
    <mergeCell ref="I206:I207"/>
    <mergeCell ref="L206:P206"/>
    <mergeCell ref="S202:S204"/>
    <mergeCell ref="B203:F203"/>
    <mergeCell ref="L203:P203"/>
    <mergeCell ref="A210:A213"/>
    <mergeCell ref="B210:F210"/>
    <mergeCell ref="K210:K213"/>
    <mergeCell ref="L210:P210"/>
    <mergeCell ref="B211:F211"/>
    <mergeCell ref="L211:P211"/>
    <mergeCell ref="B212:F212"/>
    <mergeCell ref="L212:P212"/>
    <mergeCell ref="B213:F213"/>
    <mergeCell ref="L213:P213"/>
    <mergeCell ref="S216:S217"/>
    <mergeCell ref="B217:F217"/>
    <mergeCell ref="L217:P217"/>
    <mergeCell ref="B214:F214"/>
    <mergeCell ref="G214:H214"/>
    <mergeCell ref="L214:P214"/>
    <mergeCell ref="Q214:R214"/>
    <mergeCell ref="B215:F215"/>
    <mergeCell ref="G215:H215"/>
    <mergeCell ref="L215:P215"/>
    <mergeCell ref="Q215:R215"/>
    <mergeCell ref="B218:F218"/>
    <mergeCell ref="G218:H218"/>
    <mergeCell ref="L218:P218"/>
    <mergeCell ref="Q218:R218"/>
    <mergeCell ref="B219:F219"/>
    <mergeCell ref="G219:H219"/>
    <mergeCell ref="L219:P219"/>
    <mergeCell ref="Q219:R219"/>
    <mergeCell ref="B216:F216"/>
    <mergeCell ref="G216:H217"/>
    <mergeCell ref="I216:I217"/>
    <mergeCell ref="L216:P216"/>
    <mergeCell ref="Q216:R217"/>
    <mergeCell ref="B222:F222"/>
    <mergeCell ref="G222:I222"/>
    <mergeCell ref="L222:P222"/>
    <mergeCell ref="Q222:S222"/>
    <mergeCell ref="B223:I223"/>
    <mergeCell ref="L223:S223"/>
    <mergeCell ref="B220:F220"/>
    <mergeCell ref="G220:I220"/>
    <mergeCell ref="L220:P220"/>
    <mergeCell ref="Q220:S220"/>
    <mergeCell ref="B221:F221"/>
    <mergeCell ref="G221:I221"/>
    <mergeCell ref="L221:P221"/>
    <mergeCell ref="Q221:S221"/>
    <mergeCell ref="Q233:R234"/>
    <mergeCell ref="S233:S234"/>
    <mergeCell ref="A235:A236"/>
    <mergeCell ref="B235:F236"/>
    <mergeCell ref="G235:I236"/>
    <mergeCell ref="K235:K236"/>
    <mergeCell ref="L235:P236"/>
    <mergeCell ref="Q235:S236"/>
    <mergeCell ref="B224:I224"/>
    <mergeCell ref="L224:S224"/>
    <mergeCell ref="B225:I225"/>
    <mergeCell ref="B226:I226"/>
    <mergeCell ref="A233:A234"/>
    <mergeCell ref="B233:F234"/>
    <mergeCell ref="G233:H234"/>
    <mergeCell ref="I233:I234"/>
    <mergeCell ref="K233:K234"/>
    <mergeCell ref="L233:P234"/>
    <mergeCell ref="B237:F237"/>
    <mergeCell ref="G237:H239"/>
    <mergeCell ref="I237:I238"/>
    <mergeCell ref="L237:P237"/>
    <mergeCell ref="Q237:R239"/>
    <mergeCell ref="S237:S238"/>
    <mergeCell ref="B238:F238"/>
    <mergeCell ref="L238:P238"/>
    <mergeCell ref="B239:F239"/>
    <mergeCell ref="L239:P239"/>
    <mergeCell ref="B244:F244"/>
    <mergeCell ref="L244:P244"/>
    <mergeCell ref="B240:F240"/>
    <mergeCell ref="G240:H240"/>
    <mergeCell ref="L240:P240"/>
    <mergeCell ref="Q240:R240"/>
    <mergeCell ref="B241:F241"/>
    <mergeCell ref="G241:H241"/>
    <mergeCell ref="L241:P241"/>
    <mergeCell ref="Q241:R241"/>
    <mergeCell ref="B242:F242"/>
    <mergeCell ref="G242:H245"/>
    <mergeCell ref="I242:I244"/>
    <mergeCell ref="L242:P242"/>
    <mergeCell ref="B249:F249"/>
    <mergeCell ref="G249:H253"/>
    <mergeCell ref="I249:I253"/>
    <mergeCell ref="L249:P249"/>
    <mergeCell ref="Q242:R245"/>
    <mergeCell ref="B245:F245"/>
    <mergeCell ref="L245:P245"/>
    <mergeCell ref="Q249:R253"/>
    <mergeCell ref="S249:S253"/>
    <mergeCell ref="Q246:R247"/>
    <mergeCell ref="S246:S247"/>
    <mergeCell ref="B247:F247"/>
    <mergeCell ref="L247:P247"/>
    <mergeCell ref="B248:F248"/>
    <mergeCell ref="G248:H248"/>
    <mergeCell ref="L248:P248"/>
    <mergeCell ref="Q248:R248"/>
    <mergeCell ref="B246:F246"/>
    <mergeCell ref="G246:H247"/>
    <mergeCell ref="I246:I247"/>
    <mergeCell ref="L246:P246"/>
    <mergeCell ref="S242:S244"/>
    <mergeCell ref="B243:F243"/>
    <mergeCell ref="L243:P243"/>
    <mergeCell ref="A250:A253"/>
    <mergeCell ref="B250:F250"/>
    <mergeCell ref="K250:K253"/>
    <mergeCell ref="L250:P250"/>
    <mergeCell ref="B251:F251"/>
    <mergeCell ref="L251:P251"/>
    <mergeCell ref="B252:F252"/>
    <mergeCell ref="L252:P252"/>
    <mergeCell ref="B253:F253"/>
    <mergeCell ref="L253:P253"/>
    <mergeCell ref="S256:S257"/>
    <mergeCell ref="B257:F257"/>
    <mergeCell ref="L257:P257"/>
    <mergeCell ref="B254:F254"/>
    <mergeCell ref="G254:H254"/>
    <mergeCell ref="L254:P254"/>
    <mergeCell ref="Q254:R254"/>
    <mergeCell ref="B255:F255"/>
    <mergeCell ref="G255:H255"/>
    <mergeCell ref="L255:P255"/>
    <mergeCell ref="Q255:R255"/>
    <mergeCell ref="B258:F258"/>
    <mergeCell ref="G258:H258"/>
    <mergeCell ref="L258:P258"/>
    <mergeCell ref="Q258:R258"/>
    <mergeCell ref="B259:F259"/>
    <mergeCell ref="G259:H259"/>
    <mergeCell ref="L259:P259"/>
    <mergeCell ref="Q259:R259"/>
    <mergeCell ref="B256:F256"/>
    <mergeCell ref="G256:H257"/>
    <mergeCell ref="I256:I257"/>
    <mergeCell ref="L256:P256"/>
    <mergeCell ref="Q256:R257"/>
    <mergeCell ref="L264:S264"/>
    <mergeCell ref="L265:S265"/>
    <mergeCell ref="B262:F262"/>
    <mergeCell ref="G262:I262"/>
    <mergeCell ref="L262:P262"/>
    <mergeCell ref="Q262:S262"/>
    <mergeCell ref="B263:I263"/>
    <mergeCell ref="L263:S263"/>
    <mergeCell ref="B260:F260"/>
    <mergeCell ref="G260:I260"/>
    <mergeCell ref="L260:P260"/>
    <mergeCell ref="Q260:S260"/>
    <mergeCell ref="B261:F261"/>
    <mergeCell ref="G261:I261"/>
    <mergeCell ref="L261:P261"/>
    <mergeCell ref="Q261:S26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S275"/>
  <sheetViews>
    <sheetView topLeftCell="C254" zoomScale="70" zoomScaleNormal="70" workbookViewId="0">
      <selection activeCell="Q261" sqref="Q261:R261"/>
    </sheetView>
  </sheetViews>
  <sheetFormatPr defaultColWidth="9.140625" defaultRowHeight="15" x14ac:dyDescent="0.25"/>
  <cols>
    <col min="1" max="1" width="3.42578125" customWidth="1"/>
    <col min="7" max="7" width="10" customWidth="1"/>
    <col min="9" max="9" width="58.5703125" customWidth="1"/>
    <col min="10" max="10" width="0.42578125" customWidth="1"/>
    <col min="11" max="11" width="4.42578125" customWidth="1"/>
    <col min="17" max="17" width="10.28515625" customWidth="1"/>
    <col min="19" max="19" width="59" customWidth="1"/>
    <col min="257" max="257" width="3.42578125" customWidth="1"/>
    <col min="263" max="263" width="10" customWidth="1"/>
    <col min="265" max="265" width="58.5703125" customWidth="1"/>
    <col min="266" max="266" width="0.42578125" customWidth="1"/>
    <col min="267" max="267" width="4.42578125" customWidth="1"/>
    <col min="273" max="273" width="10.28515625" customWidth="1"/>
    <col min="275" max="275" width="59" customWidth="1"/>
    <col min="513" max="513" width="3.42578125" customWidth="1"/>
    <col min="519" max="519" width="10" customWidth="1"/>
    <col min="521" max="521" width="58.5703125" customWidth="1"/>
    <col min="522" max="522" width="0.42578125" customWidth="1"/>
    <col min="523" max="523" width="4.42578125" customWidth="1"/>
    <col min="529" max="529" width="10.28515625" customWidth="1"/>
    <col min="531" max="531" width="59" customWidth="1"/>
    <col min="769" max="769" width="3.42578125" customWidth="1"/>
    <col min="775" max="775" width="10" customWidth="1"/>
    <col min="777" max="777" width="58.5703125" customWidth="1"/>
    <col min="778" max="778" width="0.42578125" customWidth="1"/>
    <col min="779" max="779" width="4.42578125" customWidth="1"/>
    <col min="785" max="785" width="10.28515625" customWidth="1"/>
    <col min="787" max="787" width="59" customWidth="1"/>
    <col min="1025" max="1025" width="3.42578125" customWidth="1"/>
    <col min="1031" max="1031" width="10" customWidth="1"/>
    <col min="1033" max="1033" width="58.5703125" customWidth="1"/>
    <col min="1034" max="1034" width="0.42578125" customWidth="1"/>
    <col min="1035" max="1035" width="4.42578125" customWidth="1"/>
    <col min="1041" max="1041" width="10.28515625" customWidth="1"/>
    <col min="1043" max="1043" width="59" customWidth="1"/>
    <col min="1281" max="1281" width="3.42578125" customWidth="1"/>
    <col min="1287" max="1287" width="10" customWidth="1"/>
    <col min="1289" max="1289" width="58.5703125" customWidth="1"/>
    <col min="1290" max="1290" width="0.42578125" customWidth="1"/>
    <col min="1291" max="1291" width="4.42578125" customWidth="1"/>
    <col min="1297" max="1297" width="10.28515625" customWidth="1"/>
    <col min="1299" max="1299" width="59" customWidth="1"/>
    <col min="1537" max="1537" width="3.42578125" customWidth="1"/>
    <col min="1543" max="1543" width="10" customWidth="1"/>
    <col min="1545" max="1545" width="58.5703125" customWidth="1"/>
    <col min="1546" max="1546" width="0.42578125" customWidth="1"/>
    <col min="1547" max="1547" width="4.42578125" customWidth="1"/>
    <col min="1553" max="1553" width="10.28515625" customWidth="1"/>
    <col min="1555" max="1555" width="59" customWidth="1"/>
    <col min="1793" max="1793" width="3.42578125" customWidth="1"/>
    <col min="1799" max="1799" width="10" customWidth="1"/>
    <col min="1801" max="1801" width="58.5703125" customWidth="1"/>
    <col min="1802" max="1802" width="0.42578125" customWidth="1"/>
    <col min="1803" max="1803" width="4.42578125" customWidth="1"/>
    <col min="1809" max="1809" width="10.28515625" customWidth="1"/>
    <col min="1811" max="1811" width="59" customWidth="1"/>
    <col min="2049" max="2049" width="3.42578125" customWidth="1"/>
    <col min="2055" max="2055" width="10" customWidth="1"/>
    <col min="2057" max="2057" width="58.5703125" customWidth="1"/>
    <col min="2058" max="2058" width="0.42578125" customWidth="1"/>
    <col min="2059" max="2059" width="4.42578125" customWidth="1"/>
    <col min="2065" max="2065" width="10.28515625" customWidth="1"/>
    <col min="2067" max="2067" width="59" customWidth="1"/>
    <col min="2305" max="2305" width="3.42578125" customWidth="1"/>
    <col min="2311" max="2311" width="10" customWidth="1"/>
    <col min="2313" max="2313" width="58.5703125" customWidth="1"/>
    <col min="2314" max="2314" width="0.42578125" customWidth="1"/>
    <col min="2315" max="2315" width="4.42578125" customWidth="1"/>
    <col min="2321" max="2321" width="10.28515625" customWidth="1"/>
    <col min="2323" max="2323" width="59" customWidth="1"/>
    <col min="2561" max="2561" width="3.42578125" customWidth="1"/>
    <col min="2567" max="2567" width="10" customWidth="1"/>
    <col min="2569" max="2569" width="58.5703125" customWidth="1"/>
    <col min="2570" max="2570" width="0.42578125" customWidth="1"/>
    <col min="2571" max="2571" width="4.42578125" customWidth="1"/>
    <col min="2577" max="2577" width="10.28515625" customWidth="1"/>
    <col min="2579" max="2579" width="59" customWidth="1"/>
    <col min="2817" max="2817" width="3.42578125" customWidth="1"/>
    <col min="2823" max="2823" width="10" customWidth="1"/>
    <col min="2825" max="2825" width="58.5703125" customWidth="1"/>
    <col min="2826" max="2826" width="0.42578125" customWidth="1"/>
    <col min="2827" max="2827" width="4.42578125" customWidth="1"/>
    <col min="2833" max="2833" width="10.28515625" customWidth="1"/>
    <col min="2835" max="2835" width="59" customWidth="1"/>
    <col min="3073" max="3073" width="3.42578125" customWidth="1"/>
    <col min="3079" max="3079" width="10" customWidth="1"/>
    <col min="3081" max="3081" width="58.5703125" customWidth="1"/>
    <col min="3082" max="3082" width="0.42578125" customWidth="1"/>
    <col min="3083" max="3083" width="4.42578125" customWidth="1"/>
    <col min="3089" max="3089" width="10.28515625" customWidth="1"/>
    <col min="3091" max="3091" width="59" customWidth="1"/>
    <col min="3329" max="3329" width="3.42578125" customWidth="1"/>
    <col min="3335" max="3335" width="10" customWidth="1"/>
    <col min="3337" max="3337" width="58.5703125" customWidth="1"/>
    <col min="3338" max="3338" width="0.42578125" customWidth="1"/>
    <col min="3339" max="3339" width="4.42578125" customWidth="1"/>
    <col min="3345" max="3345" width="10.28515625" customWidth="1"/>
    <col min="3347" max="3347" width="59" customWidth="1"/>
    <col min="3585" max="3585" width="3.42578125" customWidth="1"/>
    <col min="3591" max="3591" width="10" customWidth="1"/>
    <col min="3593" max="3593" width="58.5703125" customWidth="1"/>
    <col min="3594" max="3594" width="0.42578125" customWidth="1"/>
    <col min="3595" max="3595" width="4.42578125" customWidth="1"/>
    <col min="3601" max="3601" width="10.28515625" customWidth="1"/>
    <col min="3603" max="3603" width="59" customWidth="1"/>
    <col min="3841" max="3841" width="3.42578125" customWidth="1"/>
    <col min="3847" max="3847" width="10" customWidth="1"/>
    <col min="3849" max="3849" width="58.5703125" customWidth="1"/>
    <col min="3850" max="3850" width="0.42578125" customWidth="1"/>
    <col min="3851" max="3851" width="4.42578125" customWidth="1"/>
    <col min="3857" max="3857" width="10.28515625" customWidth="1"/>
    <col min="3859" max="3859" width="59" customWidth="1"/>
    <col min="4097" max="4097" width="3.42578125" customWidth="1"/>
    <col min="4103" max="4103" width="10" customWidth="1"/>
    <col min="4105" max="4105" width="58.5703125" customWidth="1"/>
    <col min="4106" max="4106" width="0.42578125" customWidth="1"/>
    <col min="4107" max="4107" width="4.42578125" customWidth="1"/>
    <col min="4113" max="4113" width="10.28515625" customWidth="1"/>
    <col min="4115" max="4115" width="59" customWidth="1"/>
    <col min="4353" max="4353" width="3.42578125" customWidth="1"/>
    <col min="4359" max="4359" width="10" customWidth="1"/>
    <col min="4361" max="4361" width="58.5703125" customWidth="1"/>
    <col min="4362" max="4362" width="0.42578125" customWidth="1"/>
    <col min="4363" max="4363" width="4.42578125" customWidth="1"/>
    <col min="4369" max="4369" width="10.28515625" customWidth="1"/>
    <col min="4371" max="4371" width="59" customWidth="1"/>
    <col min="4609" max="4609" width="3.42578125" customWidth="1"/>
    <col min="4615" max="4615" width="10" customWidth="1"/>
    <col min="4617" max="4617" width="58.5703125" customWidth="1"/>
    <col min="4618" max="4618" width="0.42578125" customWidth="1"/>
    <col min="4619" max="4619" width="4.42578125" customWidth="1"/>
    <col min="4625" max="4625" width="10.28515625" customWidth="1"/>
    <col min="4627" max="4627" width="59" customWidth="1"/>
    <col min="4865" max="4865" width="3.42578125" customWidth="1"/>
    <col min="4871" max="4871" width="10" customWidth="1"/>
    <col min="4873" max="4873" width="58.5703125" customWidth="1"/>
    <col min="4874" max="4874" width="0.42578125" customWidth="1"/>
    <col min="4875" max="4875" width="4.42578125" customWidth="1"/>
    <col min="4881" max="4881" width="10.28515625" customWidth="1"/>
    <col min="4883" max="4883" width="59" customWidth="1"/>
    <col min="5121" max="5121" width="3.42578125" customWidth="1"/>
    <col min="5127" max="5127" width="10" customWidth="1"/>
    <col min="5129" max="5129" width="58.5703125" customWidth="1"/>
    <col min="5130" max="5130" width="0.42578125" customWidth="1"/>
    <col min="5131" max="5131" width="4.42578125" customWidth="1"/>
    <col min="5137" max="5137" width="10.28515625" customWidth="1"/>
    <col min="5139" max="5139" width="59" customWidth="1"/>
    <col min="5377" max="5377" width="3.42578125" customWidth="1"/>
    <col min="5383" max="5383" width="10" customWidth="1"/>
    <col min="5385" max="5385" width="58.5703125" customWidth="1"/>
    <col min="5386" max="5386" width="0.42578125" customWidth="1"/>
    <col min="5387" max="5387" width="4.42578125" customWidth="1"/>
    <col min="5393" max="5393" width="10.28515625" customWidth="1"/>
    <col min="5395" max="5395" width="59" customWidth="1"/>
    <col min="5633" max="5633" width="3.42578125" customWidth="1"/>
    <col min="5639" max="5639" width="10" customWidth="1"/>
    <col min="5641" max="5641" width="58.5703125" customWidth="1"/>
    <col min="5642" max="5642" width="0.42578125" customWidth="1"/>
    <col min="5643" max="5643" width="4.42578125" customWidth="1"/>
    <col min="5649" max="5649" width="10.28515625" customWidth="1"/>
    <col min="5651" max="5651" width="59" customWidth="1"/>
    <col min="5889" max="5889" width="3.42578125" customWidth="1"/>
    <col min="5895" max="5895" width="10" customWidth="1"/>
    <col min="5897" max="5897" width="58.5703125" customWidth="1"/>
    <col min="5898" max="5898" width="0.42578125" customWidth="1"/>
    <col min="5899" max="5899" width="4.42578125" customWidth="1"/>
    <col min="5905" max="5905" width="10.28515625" customWidth="1"/>
    <col min="5907" max="5907" width="59" customWidth="1"/>
    <col min="6145" max="6145" width="3.42578125" customWidth="1"/>
    <col min="6151" max="6151" width="10" customWidth="1"/>
    <col min="6153" max="6153" width="58.5703125" customWidth="1"/>
    <col min="6154" max="6154" width="0.42578125" customWidth="1"/>
    <col min="6155" max="6155" width="4.42578125" customWidth="1"/>
    <col min="6161" max="6161" width="10.28515625" customWidth="1"/>
    <col min="6163" max="6163" width="59" customWidth="1"/>
    <col min="6401" max="6401" width="3.42578125" customWidth="1"/>
    <col min="6407" max="6407" width="10" customWidth="1"/>
    <col min="6409" max="6409" width="58.5703125" customWidth="1"/>
    <col min="6410" max="6410" width="0.42578125" customWidth="1"/>
    <col min="6411" max="6411" width="4.42578125" customWidth="1"/>
    <col min="6417" max="6417" width="10.28515625" customWidth="1"/>
    <col min="6419" max="6419" width="59" customWidth="1"/>
    <col min="6657" max="6657" width="3.42578125" customWidth="1"/>
    <col min="6663" max="6663" width="10" customWidth="1"/>
    <col min="6665" max="6665" width="58.5703125" customWidth="1"/>
    <col min="6666" max="6666" width="0.42578125" customWidth="1"/>
    <col min="6667" max="6667" width="4.42578125" customWidth="1"/>
    <col min="6673" max="6673" width="10.28515625" customWidth="1"/>
    <col min="6675" max="6675" width="59" customWidth="1"/>
    <col min="6913" max="6913" width="3.42578125" customWidth="1"/>
    <col min="6919" max="6919" width="10" customWidth="1"/>
    <col min="6921" max="6921" width="58.5703125" customWidth="1"/>
    <col min="6922" max="6922" width="0.42578125" customWidth="1"/>
    <col min="6923" max="6923" width="4.42578125" customWidth="1"/>
    <col min="6929" max="6929" width="10.28515625" customWidth="1"/>
    <col min="6931" max="6931" width="59" customWidth="1"/>
    <col min="7169" max="7169" width="3.42578125" customWidth="1"/>
    <col min="7175" max="7175" width="10" customWidth="1"/>
    <col min="7177" max="7177" width="58.5703125" customWidth="1"/>
    <col min="7178" max="7178" width="0.42578125" customWidth="1"/>
    <col min="7179" max="7179" width="4.42578125" customWidth="1"/>
    <col min="7185" max="7185" width="10.28515625" customWidth="1"/>
    <col min="7187" max="7187" width="59" customWidth="1"/>
    <col min="7425" max="7425" width="3.42578125" customWidth="1"/>
    <col min="7431" max="7431" width="10" customWidth="1"/>
    <col min="7433" max="7433" width="58.5703125" customWidth="1"/>
    <col min="7434" max="7434" width="0.42578125" customWidth="1"/>
    <col min="7435" max="7435" width="4.42578125" customWidth="1"/>
    <col min="7441" max="7441" width="10.28515625" customWidth="1"/>
    <col min="7443" max="7443" width="59" customWidth="1"/>
    <col min="7681" max="7681" width="3.42578125" customWidth="1"/>
    <col min="7687" max="7687" width="10" customWidth="1"/>
    <col min="7689" max="7689" width="58.5703125" customWidth="1"/>
    <col min="7690" max="7690" width="0.42578125" customWidth="1"/>
    <col min="7691" max="7691" width="4.42578125" customWidth="1"/>
    <col min="7697" max="7697" width="10.28515625" customWidth="1"/>
    <col min="7699" max="7699" width="59" customWidth="1"/>
    <col min="7937" max="7937" width="3.42578125" customWidth="1"/>
    <col min="7943" max="7943" width="10" customWidth="1"/>
    <col min="7945" max="7945" width="58.5703125" customWidth="1"/>
    <col min="7946" max="7946" width="0.42578125" customWidth="1"/>
    <col min="7947" max="7947" width="4.42578125" customWidth="1"/>
    <col min="7953" max="7953" width="10.28515625" customWidth="1"/>
    <col min="7955" max="7955" width="59" customWidth="1"/>
    <col min="8193" max="8193" width="3.42578125" customWidth="1"/>
    <col min="8199" max="8199" width="10" customWidth="1"/>
    <col min="8201" max="8201" width="58.5703125" customWidth="1"/>
    <col min="8202" max="8202" width="0.42578125" customWidth="1"/>
    <col min="8203" max="8203" width="4.42578125" customWidth="1"/>
    <col min="8209" max="8209" width="10.28515625" customWidth="1"/>
    <col min="8211" max="8211" width="59" customWidth="1"/>
    <col min="8449" max="8449" width="3.42578125" customWidth="1"/>
    <col min="8455" max="8455" width="10" customWidth="1"/>
    <col min="8457" max="8457" width="58.5703125" customWidth="1"/>
    <col min="8458" max="8458" width="0.42578125" customWidth="1"/>
    <col min="8459" max="8459" width="4.42578125" customWidth="1"/>
    <col min="8465" max="8465" width="10.28515625" customWidth="1"/>
    <col min="8467" max="8467" width="59" customWidth="1"/>
    <col min="8705" max="8705" width="3.42578125" customWidth="1"/>
    <col min="8711" max="8711" width="10" customWidth="1"/>
    <col min="8713" max="8713" width="58.5703125" customWidth="1"/>
    <col min="8714" max="8714" width="0.42578125" customWidth="1"/>
    <col min="8715" max="8715" width="4.42578125" customWidth="1"/>
    <col min="8721" max="8721" width="10.28515625" customWidth="1"/>
    <col min="8723" max="8723" width="59" customWidth="1"/>
    <col min="8961" max="8961" width="3.42578125" customWidth="1"/>
    <col min="8967" max="8967" width="10" customWidth="1"/>
    <col min="8969" max="8969" width="58.5703125" customWidth="1"/>
    <col min="8970" max="8970" width="0.42578125" customWidth="1"/>
    <col min="8971" max="8971" width="4.42578125" customWidth="1"/>
    <col min="8977" max="8977" width="10.28515625" customWidth="1"/>
    <col min="8979" max="8979" width="59" customWidth="1"/>
    <col min="9217" max="9217" width="3.42578125" customWidth="1"/>
    <col min="9223" max="9223" width="10" customWidth="1"/>
    <col min="9225" max="9225" width="58.5703125" customWidth="1"/>
    <col min="9226" max="9226" width="0.42578125" customWidth="1"/>
    <col min="9227" max="9227" width="4.42578125" customWidth="1"/>
    <col min="9233" max="9233" width="10.28515625" customWidth="1"/>
    <col min="9235" max="9235" width="59" customWidth="1"/>
    <col min="9473" max="9473" width="3.42578125" customWidth="1"/>
    <col min="9479" max="9479" width="10" customWidth="1"/>
    <col min="9481" max="9481" width="58.5703125" customWidth="1"/>
    <col min="9482" max="9482" width="0.42578125" customWidth="1"/>
    <col min="9483" max="9483" width="4.42578125" customWidth="1"/>
    <col min="9489" max="9489" width="10.28515625" customWidth="1"/>
    <col min="9491" max="9491" width="59" customWidth="1"/>
    <col min="9729" max="9729" width="3.42578125" customWidth="1"/>
    <col min="9735" max="9735" width="10" customWidth="1"/>
    <col min="9737" max="9737" width="58.5703125" customWidth="1"/>
    <col min="9738" max="9738" width="0.42578125" customWidth="1"/>
    <col min="9739" max="9739" width="4.42578125" customWidth="1"/>
    <col min="9745" max="9745" width="10.28515625" customWidth="1"/>
    <col min="9747" max="9747" width="59" customWidth="1"/>
    <col min="9985" max="9985" width="3.42578125" customWidth="1"/>
    <col min="9991" max="9991" width="10" customWidth="1"/>
    <col min="9993" max="9993" width="58.5703125" customWidth="1"/>
    <col min="9994" max="9994" width="0.42578125" customWidth="1"/>
    <col min="9995" max="9995" width="4.42578125" customWidth="1"/>
    <col min="10001" max="10001" width="10.28515625" customWidth="1"/>
    <col min="10003" max="10003" width="59" customWidth="1"/>
    <col min="10241" max="10241" width="3.42578125" customWidth="1"/>
    <col min="10247" max="10247" width="10" customWidth="1"/>
    <col min="10249" max="10249" width="58.5703125" customWidth="1"/>
    <col min="10250" max="10250" width="0.42578125" customWidth="1"/>
    <col min="10251" max="10251" width="4.42578125" customWidth="1"/>
    <col min="10257" max="10257" width="10.28515625" customWidth="1"/>
    <col min="10259" max="10259" width="59" customWidth="1"/>
    <col min="10497" max="10497" width="3.42578125" customWidth="1"/>
    <col min="10503" max="10503" width="10" customWidth="1"/>
    <col min="10505" max="10505" width="58.5703125" customWidth="1"/>
    <col min="10506" max="10506" width="0.42578125" customWidth="1"/>
    <col min="10507" max="10507" width="4.42578125" customWidth="1"/>
    <col min="10513" max="10513" width="10.28515625" customWidth="1"/>
    <col min="10515" max="10515" width="59" customWidth="1"/>
    <col min="10753" max="10753" width="3.42578125" customWidth="1"/>
    <col min="10759" max="10759" width="10" customWidth="1"/>
    <col min="10761" max="10761" width="58.5703125" customWidth="1"/>
    <col min="10762" max="10762" width="0.42578125" customWidth="1"/>
    <col min="10763" max="10763" width="4.42578125" customWidth="1"/>
    <col min="10769" max="10769" width="10.28515625" customWidth="1"/>
    <col min="10771" max="10771" width="59" customWidth="1"/>
    <col min="11009" max="11009" width="3.42578125" customWidth="1"/>
    <col min="11015" max="11015" width="10" customWidth="1"/>
    <col min="11017" max="11017" width="58.5703125" customWidth="1"/>
    <col min="11018" max="11018" width="0.42578125" customWidth="1"/>
    <col min="11019" max="11019" width="4.42578125" customWidth="1"/>
    <col min="11025" max="11025" width="10.28515625" customWidth="1"/>
    <col min="11027" max="11027" width="59" customWidth="1"/>
    <col min="11265" max="11265" width="3.42578125" customWidth="1"/>
    <col min="11271" max="11271" width="10" customWidth="1"/>
    <col min="11273" max="11273" width="58.5703125" customWidth="1"/>
    <col min="11274" max="11274" width="0.42578125" customWidth="1"/>
    <col min="11275" max="11275" width="4.42578125" customWidth="1"/>
    <col min="11281" max="11281" width="10.28515625" customWidth="1"/>
    <col min="11283" max="11283" width="59" customWidth="1"/>
    <col min="11521" max="11521" width="3.42578125" customWidth="1"/>
    <col min="11527" max="11527" width="10" customWidth="1"/>
    <col min="11529" max="11529" width="58.5703125" customWidth="1"/>
    <col min="11530" max="11530" width="0.42578125" customWidth="1"/>
    <col min="11531" max="11531" width="4.42578125" customWidth="1"/>
    <col min="11537" max="11537" width="10.28515625" customWidth="1"/>
    <col min="11539" max="11539" width="59" customWidth="1"/>
    <col min="11777" max="11777" width="3.42578125" customWidth="1"/>
    <col min="11783" max="11783" width="10" customWidth="1"/>
    <col min="11785" max="11785" width="58.5703125" customWidth="1"/>
    <col min="11786" max="11786" width="0.42578125" customWidth="1"/>
    <col min="11787" max="11787" width="4.42578125" customWidth="1"/>
    <col min="11793" max="11793" width="10.28515625" customWidth="1"/>
    <col min="11795" max="11795" width="59" customWidth="1"/>
    <col min="12033" max="12033" width="3.42578125" customWidth="1"/>
    <col min="12039" max="12039" width="10" customWidth="1"/>
    <col min="12041" max="12041" width="58.5703125" customWidth="1"/>
    <col min="12042" max="12042" width="0.42578125" customWidth="1"/>
    <col min="12043" max="12043" width="4.42578125" customWidth="1"/>
    <col min="12049" max="12049" width="10.28515625" customWidth="1"/>
    <col min="12051" max="12051" width="59" customWidth="1"/>
    <col min="12289" max="12289" width="3.42578125" customWidth="1"/>
    <col min="12295" max="12295" width="10" customWidth="1"/>
    <col min="12297" max="12297" width="58.5703125" customWidth="1"/>
    <col min="12298" max="12298" width="0.42578125" customWidth="1"/>
    <col min="12299" max="12299" width="4.42578125" customWidth="1"/>
    <col min="12305" max="12305" width="10.28515625" customWidth="1"/>
    <col min="12307" max="12307" width="59" customWidth="1"/>
    <col min="12545" max="12545" width="3.42578125" customWidth="1"/>
    <col min="12551" max="12551" width="10" customWidth="1"/>
    <col min="12553" max="12553" width="58.5703125" customWidth="1"/>
    <col min="12554" max="12554" width="0.42578125" customWidth="1"/>
    <col min="12555" max="12555" width="4.42578125" customWidth="1"/>
    <col min="12561" max="12561" width="10.28515625" customWidth="1"/>
    <col min="12563" max="12563" width="59" customWidth="1"/>
    <col min="12801" max="12801" width="3.42578125" customWidth="1"/>
    <col min="12807" max="12807" width="10" customWidth="1"/>
    <col min="12809" max="12809" width="58.5703125" customWidth="1"/>
    <col min="12810" max="12810" width="0.42578125" customWidth="1"/>
    <col min="12811" max="12811" width="4.42578125" customWidth="1"/>
    <col min="12817" max="12817" width="10.28515625" customWidth="1"/>
    <col min="12819" max="12819" width="59" customWidth="1"/>
    <col min="13057" max="13057" width="3.42578125" customWidth="1"/>
    <col min="13063" max="13063" width="10" customWidth="1"/>
    <col min="13065" max="13065" width="58.5703125" customWidth="1"/>
    <col min="13066" max="13066" width="0.42578125" customWidth="1"/>
    <col min="13067" max="13067" width="4.42578125" customWidth="1"/>
    <col min="13073" max="13073" width="10.28515625" customWidth="1"/>
    <col min="13075" max="13075" width="59" customWidth="1"/>
    <col min="13313" max="13313" width="3.42578125" customWidth="1"/>
    <col min="13319" max="13319" width="10" customWidth="1"/>
    <col min="13321" max="13321" width="58.5703125" customWidth="1"/>
    <col min="13322" max="13322" width="0.42578125" customWidth="1"/>
    <col min="13323" max="13323" width="4.42578125" customWidth="1"/>
    <col min="13329" max="13329" width="10.28515625" customWidth="1"/>
    <col min="13331" max="13331" width="59" customWidth="1"/>
    <col min="13569" max="13569" width="3.42578125" customWidth="1"/>
    <col min="13575" max="13575" width="10" customWidth="1"/>
    <col min="13577" max="13577" width="58.5703125" customWidth="1"/>
    <col min="13578" max="13578" width="0.42578125" customWidth="1"/>
    <col min="13579" max="13579" width="4.42578125" customWidth="1"/>
    <col min="13585" max="13585" width="10.28515625" customWidth="1"/>
    <col min="13587" max="13587" width="59" customWidth="1"/>
    <col min="13825" max="13825" width="3.42578125" customWidth="1"/>
    <col min="13831" max="13831" width="10" customWidth="1"/>
    <col min="13833" max="13833" width="58.5703125" customWidth="1"/>
    <col min="13834" max="13834" width="0.42578125" customWidth="1"/>
    <col min="13835" max="13835" width="4.42578125" customWidth="1"/>
    <col min="13841" max="13841" width="10.28515625" customWidth="1"/>
    <col min="13843" max="13843" width="59" customWidth="1"/>
    <col min="14081" max="14081" width="3.42578125" customWidth="1"/>
    <col min="14087" max="14087" width="10" customWidth="1"/>
    <col min="14089" max="14089" width="58.5703125" customWidth="1"/>
    <col min="14090" max="14090" width="0.42578125" customWidth="1"/>
    <col min="14091" max="14091" width="4.42578125" customWidth="1"/>
    <col min="14097" max="14097" width="10.28515625" customWidth="1"/>
    <col min="14099" max="14099" width="59" customWidth="1"/>
    <col min="14337" max="14337" width="3.42578125" customWidth="1"/>
    <col min="14343" max="14343" width="10" customWidth="1"/>
    <col min="14345" max="14345" width="58.5703125" customWidth="1"/>
    <col min="14346" max="14346" width="0.42578125" customWidth="1"/>
    <col min="14347" max="14347" width="4.42578125" customWidth="1"/>
    <col min="14353" max="14353" width="10.28515625" customWidth="1"/>
    <col min="14355" max="14355" width="59" customWidth="1"/>
    <col min="14593" max="14593" width="3.42578125" customWidth="1"/>
    <col min="14599" max="14599" width="10" customWidth="1"/>
    <col min="14601" max="14601" width="58.5703125" customWidth="1"/>
    <col min="14602" max="14602" width="0.42578125" customWidth="1"/>
    <col min="14603" max="14603" width="4.42578125" customWidth="1"/>
    <col min="14609" max="14609" width="10.28515625" customWidth="1"/>
    <col min="14611" max="14611" width="59" customWidth="1"/>
    <col min="14849" max="14849" width="3.42578125" customWidth="1"/>
    <col min="14855" max="14855" width="10" customWidth="1"/>
    <col min="14857" max="14857" width="58.5703125" customWidth="1"/>
    <col min="14858" max="14858" width="0.42578125" customWidth="1"/>
    <col min="14859" max="14859" width="4.42578125" customWidth="1"/>
    <col min="14865" max="14865" width="10.28515625" customWidth="1"/>
    <col min="14867" max="14867" width="59" customWidth="1"/>
    <col min="15105" max="15105" width="3.42578125" customWidth="1"/>
    <col min="15111" max="15111" width="10" customWidth="1"/>
    <col min="15113" max="15113" width="58.5703125" customWidth="1"/>
    <col min="15114" max="15114" width="0.42578125" customWidth="1"/>
    <col min="15115" max="15115" width="4.42578125" customWidth="1"/>
    <col min="15121" max="15121" width="10.28515625" customWidth="1"/>
    <col min="15123" max="15123" width="59" customWidth="1"/>
    <col min="15361" max="15361" width="3.42578125" customWidth="1"/>
    <col min="15367" max="15367" width="10" customWidth="1"/>
    <col min="15369" max="15369" width="58.5703125" customWidth="1"/>
    <col min="15370" max="15370" width="0.42578125" customWidth="1"/>
    <col min="15371" max="15371" width="4.42578125" customWidth="1"/>
    <col min="15377" max="15377" width="10.28515625" customWidth="1"/>
    <col min="15379" max="15379" width="59" customWidth="1"/>
    <col min="15617" max="15617" width="3.42578125" customWidth="1"/>
    <col min="15623" max="15623" width="10" customWidth="1"/>
    <col min="15625" max="15625" width="58.5703125" customWidth="1"/>
    <col min="15626" max="15626" width="0.42578125" customWidth="1"/>
    <col min="15627" max="15627" width="4.42578125" customWidth="1"/>
    <col min="15633" max="15633" width="10.28515625" customWidth="1"/>
    <col min="15635" max="15635" width="59" customWidth="1"/>
    <col min="15873" max="15873" width="3.42578125" customWidth="1"/>
    <col min="15879" max="15879" width="10" customWidth="1"/>
    <col min="15881" max="15881" width="58.5703125" customWidth="1"/>
    <col min="15882" max="15882" width="0.42578125" customWidth="1"/>
    <col min="15883" max="15883" width="4.42578125" customWidth="1"/>
    <col min="15889" max="15889" width="10.28515625" customWidth="1"/>
    <col min="15891" max="15891" width="59" customWidth="1"/>
    <col min="16129" max="16129" width="3.42578125" customWidth="1"/>
    <col min="16135" max="16135" width="10" customWidth="1"/>
    <col min="16137" max="16137" width="58.5703125" customWidth="1"/>
    <col min="16138" max="16138" width="0.42578125" customWidth="1"/>
    <col min="16139" max="16139" width="4.42578125" customWidth="1"/>
    <col min="16145" max="16145" width="10.28515625" customWidth="1"/>
    <col min="16147" max="16147" width="59"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375</v>
      </c>
      <c r="E2" s="3"/>
      <c r="F2" s="3"/>
      <c r="G2" s="3"/>
      <c r="H2" s="3"/>
      <c r="I2" s="3"/>
      <c r="K2" s="3" t="s">
        <v>205</v>
      </c>
      <c r="L2" s="3"/>
      <c r="M2" s="3"/>
      <c r="N2" s="3" t="s">
        <v>376</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2499.4</v>
      </c>
      <c r="G4" s="3" t="s">
        <v>207</v>
      </c>
      <c r="H4" s="3"/>
      <c r="I4" s="3"/>
      <c r="J4" s="3"/>
      <c r="K4" s="3"/>
      <c r="L4" s="5" t="s">
        <v>206</v>
      </c>
      <c r="M4" s="3"/>
      <c r="N4" s="3"/>
      <c r="O4" s="3"/>
      <c r="P4" s="3">
        <v>1394.9</v>
      </c>
      <c r="Q4" s="3" t="s">
        <v>207</v>
      </c>
      <c r="R4" s="3"/>
      <c r="S4" s="3"/>
    </row>
    <row r="5" spans="1:19" ht="15" customHeight="1" x14ac:dyDescent="0.25">
      <c r="A5" s="175" t="s">
        <v>209</v>
      </c>
      <c r="B5" s="177" t="s">
        <v>210</v>
      </c>
      <c r="C5" s="178"/>
      <c r="D5" s="178"/>
      <c r="E5" s="178"/>
      <c r="F5" s="178"/>
      <c r="G5" s="180" t="s">
        <v>442</v>
      </c>
      <c r="H5" s="181"/>
      <c r="I5" s="175" t="s">
        <v>212</v>
      </c>
      <c r="J5" s="31"/>
      <c r="K5" s="175" t="s">
        <v>209</v>
      </c>
      <c r="L5" s="177" t="s">
        <v>210</v>
      </c>
      <c r="M5" s="178"/>
      <c r="N5" s="178"/>
      <c r="O5" s="178"/>
      <c r="P5" s="178"/>
      <c r="Q5" s="180" t="s">
        <v>442</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45788.54</v>
      </c>
      <c r="H7" s="191"/>
      <c r="I7" s="192"/>
      <c r="J7" s="33"/>
      <c r="K7" s="185" t="s">
        <v>213</v>
      </c>
      <c r="L7" s="187" t="s">
        <v>354</v>
      </c>
      <c r="M7" s="188"/>
      <c r="N7" s="188"/>
      <c r="O7" s="188"/>
      <c r="P7" s="188"/>
      <c r="Q7" s="190">
        <v>39706.339999999997</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1.05*12*F4</f>
        <v>31492.440000000006</v>
      </c>
      <c r="H9" s="164"/>
      <c r="I9" s="169" t="s">
        <v>215</v>
      </c>
      <c r="J9" s="35"/>
      <c r="K9" s="6"/>
      <c r="L9" s="161" t="s">
        <v>214</v>
      </c>
      <c r="M9" s="162"/>
      <c r="N9" s="162"/>
      <c r="O9" s="162"/>
      <c r="P9" s="162"/>
      <c r="Q9" s="163">
        <f>1.45*12*P4</f>
        <v>24271.26</v>
      </c>
      <c r="R9" s="164"/>
      <c r="S9" s="169" t="s">
        <v>215</v>
      </c>
    </row>
    <row r="10" spans="1:19" ht="33.7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6.5"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16.5" customHeight="1" thickBot="1" x14ac:dyDescent="0.3">
      <c r="A13" s="7"/>
      <c r="B13" s="141" t="s">
        <v>221</v>
      </c>
      <c r="C13" s="142"/>
      <c r="D13" s="142"/>
      <c r="E13" s="142"/>
      <c r="F13" s="142"/>
      <c r="G13" s="143">
        <f>0.4*12*F4</f>
        <v>11997.120000000003</v>
      </c>
      <c r="H13" s="144"/>
      <c r="I13" s="8" t="s">
        <v>222</v>
      </c>
      <c r="J13" s="38"/>
      <c r="K13" s="7"/>
      <c r="L13" s="141" t="s">
        <v>221</v>
      </c>
      <c r="M13" s="142"/>
      <c r="N13" s="142"/>
      <c r="O13" s="142"/>
      <c r="P13" s="142"/>
      <c r="Q13" s="143">
        <f>0.3*12*P4</f>
        <v>5021.6399999999994</v>
      </c>
      <c r="R13" s="144"/>
      <c r="S13" s="8" t="s">
        <v>222</v>
      </c>
    </row>
    <row r="14" spans="1:19" ht="13.5" customHeight="1" x14ac:dyDescent="0.25">
      <c r="A14" s="9"/>
      <c r="B14" s="145" t="s">
        <v>223</v>
      </c>
      <c r="C14" s="146"/>
      <c r="D14" s="146"/>
      <c r="E14" s="146"/>
      <c r="F14" s="146"/>
      <c r="G14" s="86">
        <f>1.75*12*F4</f>
        <v>52487.4</v>
      </c>
      <c r="H14" s="147"/>
      <c r="I14" s="152" t="s">
        <v>224</v>
      </c>
      <c r="J14" s="38"/>
      <c r="K14" s="9"/>
      <c r="L14" s="145" t="s">
        <v>223</v>
      </c>
      <c r="M14" s="146"/>
      <c r="N14" s="146"/>
      <c r="O14" s="146"/>
      <c r="P14" s="146"/>
      <c r="Q14" s="86">
        <f>1.79*12*P4</f>
        <v>29962.452000000001</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0.2*12*F4</f>
        <v>5998.5600000000013</v>
      </c>
      <c r="H18" s="87"/>
      <c r="I18" s="129" t="s">
        <v>220</v>
      </c>
      <c r="J18" s="36"/>
      <c r="K18" s="12"/>
      <c r="L18" s="125" t="s">
        <v>230</v>
      </c>
      <c r="M18" s="126"/>
      <c r="N18" s="126"/>
      <c r="O18" s="126"/>
      <c r="P18" s="126"/>
      <c r="Q18" s="86"/>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30" customHeight="1" thickBot="1" x14ac:dyDescent="0.3">
      <c r="A21" s="13"/>
      <c r="B21" s="84" t="s">
        <v>233</v>
      </c>
      <c r="C21" s="85"/>
      <c r="D21" s="85"/>
      <c r="E21" s="85"/>
      <c r="F21" s="85"/>
      <c r="G21" s="86">
        <f>1.02*12*F4</f>
        <v>30592.656000000003</v>
      </c>
      <c r="H21" s="87"/>
      <c r="I21" s="92" t="s">
        <v>612</v>
      </c>
      <c r="J21" s="41"/>
      <c r="K21" s="13"/>
      <c r="L21" s="84" t="s">
        <v>233</v>
      </c>
      <c r="M21" s="85"/>
      <c r="N21" s="85"/>
      <c r="O21" s="85"/>
      <c r="P21" s="85"/>
      <c r="Q21" s="86">
        <f>1.29*12*P4</f>
        <v>21593.052000000003</v>
      </c>
      <c r="R21" s="87"/>
      <c r="S21" s="320" t="s">
        <v>608</v>
      </c>
    </row>
    <row r="22" spans="1:19" ht="21.75" customHeight="1" x14ac:dyDescent="0.25">
      <c r="A22" s="118"/>
      <c r="B22" s="121" t="s">
        <v>226</v>
      </c>
      <c r="C22" s="122"/>
      <c r="D22" s="122"/>
      <c r="E22" s="122"/>
      <c r="F22" s="122"/>
      <c r="G22" s="88"/>
      <c r="H22" s="89"/>
      <c r="I22" s="93"/>
      <c r="J22" s="41"/>
      <c r="K22" s="118"/>
      <c r="L22" s="121" t="s">
        <v>226</v>
      </c>
      <c r="M22" s="122"/>
      <c r="N22" s="122"/>
      <c r="O22" s="122"/>
      <c r="P22" s="122"/>
      <c r="Q22" s="88"/>
      <c r="R22" s="89"/>
      <c r="S22" s="321"/>
    </row>
    <row r="23" spans="1:19" ht="42.75" customHeight="1" x14ac:dyDescent="0.25">
      <c r="A23" s="119"/>
      <c r="B23" s="121" t="s">
        <v>227</v>
      </c>
      <c r="C23" s="122"/>
      <c r="D23" s="122"/>
      <c r="E23" s="122"/>
      <c r="F23" s="122"/>
      <c r="G23" s="88"/>
      <c r="H23" s="89"/>
      <c r="I23" s="93"/>
      <c r="J23" s="42"/>
      <c r="K23" s="119"/>
      <c r="L23" s="121" t="s">
        <v>227</v>
      </c>
      <c r="M23" s="122"/>
      <c r="N23" s="122"/>
      <c r="O23" s="122"/>
      <c r="P23" s="122"/>
      <c r="Q23" s="88"/>
      <c r="R23" s="89"/>
      <c r="S23" s="321"/>
    </row>
    <row r="24" spans="1:19" ht="42.75" customHeight="1" x14ac:dyDescent="0.25">
      <c r="A24" s="119"/>
      <c r="B24" s="121" t="s">
        <v>228</v>
      </c>
      <c r="C24" s="122"/>
      <c r="D24" s="122"/>
      <c r="E24" s="122"/>
      <c r="F24" s="122"/>
      <c r="G24" s="88"/>
      <c r="H24" s="89"/>
      <c r="I24" s="93"/>
      <c r="J24" s="43"/>
      <c r="K24" s="119"/>
      <c r="L24" s="121" t="s">
        <v>228</v>
      </c>
      <c r="M24" s="122"/>
      <c r="N24" s="122"/>
      <c r="O24" s="122"/>
      <c r="P24" s="122"/>
      <c r="Q24" s="88"/>
      <c r="R24" s="89"/>
      <c r="S24" s="321"/>
    </row>
    <row r="25" spans="1:19" ht="48.75" customHeight="1" thickBot="1" x14ac:dyDescent="0.3">
      <c r="A25" s="120"/>
      <c r="B25" s="123" t="s">
        <v>234</v>
      </c>
      <c r="C25" s="124"/>
      <c r="D25" s="124"/>
      <c r="E25" s="124"/>
      <c r="F25" s="124"/>
      <c r="G25" s="90"/>
      <c r="H25" s="91"/>
      <c r="I25" s="94"/>
      <c r="J25" s="44"/>
      <c r="K25" s="120"/>
      <c r="L25" s="123" t="s">
        <v>234</v>
      </c>
      <c r="M25" s="124"/>
      <c r="N25" s="124"/>
      <c r="O25" s="124"/>
      <c r="P25" s="124"/>
      <c r="Q25" s="90"/>
      <c r="R25" s="91"/>
      <c r="S25" s="322"/>
    </row>
    <row r="26" spans="1:19" ht="1.5" hidden="1" customHeight="1" x14ac:dyDescent="0.25">
      <c r="A26" s="15"/>
      <c r="B26" s="137" t="s">
        <v>248</v>
      </c>
      <c r="C26" s="138"/>
      <c r="D26" s="138"/>
      <c r="E26" s="138"/>
      <c r="F26" s="138"/>
      <c r="G26" s="139"/>
      <c r="H26" s="140"/>
      <c r="I26" s="16"/>
      <c r="J26" s="40"/>
      <c r="K26" s="15"/>
      <c r="L26" s="137" t="s">
        <v>248</v>
      </c>
      <c r="M26" s="138"/>
      <c r="N26" s="138"/>
      <c r="O26" s="138"/>
      <c r="P26" s="138"/>
      <c r="Q26" s="139"/>
      <c r="R26" s="140"/>
      <c r="S26" s="16"/>
    </row>
    <row r="27" spans="1:19" ht="34.5" hidden="1" customHeight="1" x14ac:dyDescent="0.25">
      <c r="A27" s="15"/>
      <c r="B27" s="137" t="s">
        <v>235</v>
      </c>
      <c r="C27" s="138"/>
      <c r="D27" s="138"/>
      <c r="E27" s="138"/>
      <c r="F27" s="138"/>
      <c r="G27" s="139"/>
      <c r="H27" s="140"/>
      <c r="I27" s="16"/>
      <c r="J27" s="45"/>
      <c r="K27" s="15"/>
      <c r="L27" s="137" t="s">
        <v>235</v>
      </c>
      <c r="M27" s="138"/>
      <c r="N27" s="138"/>
      <c r="O27" s="138"/>
      <c r="P27" s="138"/>
      <c r="Q27" s="139"/>
      <c r="R27" s="140"/>
      <c r="S27" s="16"/>
    </row>
    <row r="28" spans="1:19" ht="29.25" customHeight="1" thickBot="1" x14ac:dyDescent="0.3">
      <c r="A28" s="17"/>
      <c r="B28" s="78" t="s">
        <v>237</v>
      </c>
      <c r="C28" s="79"/>
      <c r="D28" s="79"/>
      <c r="E28" s="79"/>
      <c r="F28" s="79"/>
      <c r="G28" s="86">
        <v>5239</v>
      </c>
      <c r="H28" s="87"/>
      <c r="I28" s="108" t="s">
        <v>229</v>
      </c>
      <c r="J28" s="41"/>
      <c r="K28" s="17"/>
      <c r="L28" s="78" t="s">
        <v>237</v>
      </c>
      <c r="M28" s="79"/>
      <c r="N28" s="79"/>
      <c r="O28" s="79"/>
      <c r="P28" s="79"/>
      <c r="Q28" s="86">
        <v>8457</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137807.17600000004</v>
      </c>
      <c r="H30" s="115"/>
      <c r="I30" s="20"/>
      <c r="J30" s="47"/>
      <c r="K30" s="19"/>
      <c r="L30" s="112" t="s">
        <v>239</v>
      </c>
      <c r="M30" s="113"/>
      <c r="N30" s="113"/>
      <c r="O30" s="113"/>
      <c r="P30" s="113"/>
      <c r="Q30" s="114">
        <f>SUM(Q9:R29)</f>
        <v>89305.40400000001</v>
      </c>
      <c r="R30" s="115"/>
      <c r="S30" s="20"/>
    </row>
    <row r="31" spans="1:19" ht="19.5" customHeight="1" thickBot="1" x14ac:dyDescent="0.3">
      <c r="A31" s="21"/>
      <c r="B31" s="101" t="s">
        <v>240</v>
      </c>
      <c r="C31" s="102"/>
      <c r="D31" s="102"/>
      <c r="E31" s="102"/>
      <c r="F31" s="102"/>
      <c r="G31" s="116">
        <f>G30*1.2</f>
        <v>165368.61120000004</v>
      </c>
      <c r="H31" s="117"/>
      <c r="I31" s="22"/>
      <c r="J31" s="47"/>
      <c r="K31" s="21"/>
      <c r="L31" s="101" t="s">
        <v>240</v>
      </c>
      <c r="M31" s="102"/>
      <c r="N31" s="102"/>
      <c r="O31" s="102"/>
      <c r="P31" s="102"/>
      <c r="Q31" s="116">
        <f>Q30*1.2</f>
        <v>107166.48480000001</v>
      </c>
      <c r="R31" s="117"/>
      <c r="S31" s="22"/>
    </row>
    <row r="32" spans="1:19" ht="19.5" customHeight="1" thickBot="1" x14ac:dyDescent="0.3">
      <c r="A32" s="24"/>
      <c r="B32" s="96" t="s">
        <v>443</v>
      </c>
      <c r="C32" s="97"/>
      <c r="D32" s="97"/>
      <c r="E32" s="97"/>
      <c r="F32" s="97"/>
      <c r="G32" s="311">
        <v>164766.94</v>
      </c>
      <c r="H32" s="312"/>
      <c r="I32" s="313"/>
      <c r="J32" s="47"/>
      <c r="K32" s="24"/>
      <c r="L32" s="96" t="s">
        <v>443</v>
      </c>
      <c r="M32" s="97"/>
      <c r="N32" s="97"/>
      <c r="O32" s="97"/>
      <c r="P32" s="97"/>
      <c r="Q32" s="311">
        <v>106103.64</v>
      </c>
      <c r="R32" s="312"/>
      <c r="S32" s="313"/>
    </row>
    <row r="33" spans="1:19" ht="19.5" customHeight="1" thickBot="1" x14ac:dyDescent="0.3">
      <c r="A33" s="25"/>
      <c r="B33" s="101" t="s">
        <v>242</v>
      </c>
      <c r="C33" s="102"/>
      <c r="D33" s="102"/>
      <c r="E33" s="102"/>
      <c r="F33" s="102"/>
      <c r="G33" s="343">
        <v>163022.64000000001</v>
      </c>
      <c r="H33" s="344"/>
      <c r="I33" s="345"/>
      <c r="J33" s="48"/>
      <c r="K33" s="25"/>
      <c r="L33" s="101" t="s">
        <v>242</v>
      </c>
      <c r="M33" s="102"/>
      <c r="N33" s="102"/>
      <c r="O33" s="102"/>
      <c r="P33" s="102"/>
      <c r="Q33" s="343">
        <v>106755.78</v>
      </c>
      <c r="R33" s="344"/>
      <c r="S33" s="345"/>
    </row>
    <row r="34" spans="1:19" s="69" customFormat="1" ht="19.5" customHeight="1" thickBot="1" x14ac:dyDescent="0.3">
      <c r="A34" s="19"/>
      <c r="B34" s="106" t="s">
        <v>444</v>
      </c>
      <c r="C34" s="107"/>
      <c r="D34" s="107"/>
      <c r="E34" s="107"/>
      <c r="F34" s="107"/>
      <c r="G34" s="307">
        <v>47532.84</v>
      </c>
      <c r="H34" s="308"/>
      <c r="I34" s="309"/>
      <c r="J34" s="68"/>
      <c r="K34" s="19"/>
      <c r="L34" s="106" t="s">
        <v>444</v>
      </c>
      <c r="M34" s="107"/>
      <c r="N34" s="107"/>
      <c r="O34" s="107"/>
      <c r="P34" s="107"/>
      <c r="Q34" s="307">
        <v>39054.199999999997</v>
      </c>
      <c r="R34" s="308"/>
      <c r="S34" s="309"/>
    </row>
    <row r="35" spans="1:19" x14ac:dyDescent="0.25">
      <c r="A35" s="4"/>
      <c r="B35" s="339"/>
      <c r="C35" s="339"/>
      <c r="D35" s="339"/>
      <c r="E35" s="339"/>
      <c r="F35" s="339"/>
      <c r="G35" s="339"/>
      <c r="H35" s="339"/>
      <c r="I35" s="339"/>
      <c r="K35" s="4"/>
      <c r="L35" s="26"/>
      <c r="M35" s="26"/>
      <c r="N35" s="26"/>
      <c r="O35" s="26"/>
      <c r="P35" s="26"/>
      <c r="Q35" s="27"/>
      <c r="R35" s="3"/>
      <c r="S35" s="3"/>
    </row>
    <row r="36" spans="1:19" x14ac:dyDescent="0.25">
      <c r="A36" s="4"/>
      <c r="B36" s="339"/>
      <c r="C36" s="339"/>
      <c r="D36" s="339"/>
      <c r="E36" s="339"/>
      <c r="F36" s="339"/>
      <c r="G36" s="339"/>
      <c r="H36" s="339"/>
      <c r="I36" s="339"/>
      <c r="K36" s="4"/>
      <c r="L36" s="26"/>
      <c r="M36" s="26"/>
      <c r="N36" s="26"/>
      <c r="O36" s="26"/>
      <c r="P36" s="26"/>
      <c r="Q36" s="27"/>
      <c r="R36" s="3"/>
      <c r="S36" s="3"/>
    </row>
    <row r="37" spans="1:19" x14ac:dyDescent="0.25">
      <c r="E37" s="50"/>
      <c r="I37" s="5"/>
      <c r="O37" s="50"/>
      <c r="S37" s="5"/>
    </row>
    <row r="38" spans="1:19" x14ac:dyDescent="0.25">
      <c r="A38" s="3"/>
      <c r="I38" s="5"/>
      <c r="K38" s="3"/>
      <c r="S38" s="5"/>
    </row>
    <row r="39" spans="1:19" ht="15.75" x14ac:dyDescent="0.25">
      <c r="A39" s="30"/>
      <c r="C39" s="30"/>
      <c r="K39" s="30"/>
      <c r="N39" s="30"/>
    </row>
    <row r="40" spans="1:19" ht="15.75" x14ac:dyDescent="0.25">
      <c r="A40" s="30"/>
      <c r="C40" s="30"/>
      <c r="K40" s="30"/>
      <c r="N40" s="30"/>
    </row>
    <row r="41" spans="1:19" x14ac:dyDescent="0.25">
      <c r="A41" s="3"/>
      <c r="B41" s="3"/>
      <c r="C41" s="3"/>
      <c r="D41" s="3"/>
      <c r="E41" s="4" t="s">
        <v>204</v>
      </c>
      <c r="F41" s="3"/>
      <c r="G41" s="3"/>
      <c r="H41" s="3"/>
      <c r="I41" s="3"/>
      <c r="K41" s="3"/>
      <c r="L41" s="3"/>
      <c r="M41" s="3"/>
      <c r="N41" s="3"/>
      <c r="O41" s="4" t="s">
        <v>204</v>
      </c>
      <c r="P41" s="3"/>
      <c r="Q41" s="3"/>
      <c r="R41" s="3"/>
      <c r="S41" s="3"/>
    </row>
    <row r="42" spans="1:19" x14ac:dyDescent="0.25">
      <c r="A42" s="3" t="s">
        <v>205</v>
      </c>
      <c r="B42" s="3"/>
      <c r="C42" s="3"/>
      <c r="D42" s="3" t="s">
        <v>377</v>
      </c>
      <c r="E42" s="3"/>
      <c r="F42" s="3"/>
      <c r="G42" s="3"/>
      <c r="H42" s="3"/>
      <c r="I42" s="3"/>
      <c r="K42" s="3" t="s">
        <v>205</v>
      </c>
      <c r="L42" s="3"/>
      <c r="M42" s="3"/>
      <c r="N42" s="3" t="s">
        <v>378</v>
      </c>
      <c r="O42" s="3"/>
      <c r="P42" s="3"/>
      <c r="Q42" s="3"/>
      <c r="R42" s="3"/>
      <c r="S42" s="3"/>
    </row>
    <row r="43" spans="1:19" x14ac:dyDescent="0.25">
      <c r="A43" s="3"/>
      <c r="B43" s="5" t="s">
        <v>440</v>
      </c>
      <c r="C43" s="3"/>
      <c r="D43" s="3"/>
      <c r="E43" s="3"/>
      <c r="F43" s="3"/>
      <c r="G43" s="3"/>
      <c r="H43" s="3"/>
      <c r="I43" s="3"/>
      <c r="J43" s="3"/>
      <c r="K43" s="3"/>
      <c r="L43" s="5" t="s">
        <v>440</v>
      </c>
      <c r="M43" s="3"/>
      <c r="N43" s="3"/>
      <c r="O43" s="3"/>
      <c r="P43" s="3"/>
      <c r="Q43" s="3"/>
      <c r="R43" s="3"/>
      <c r="S43" s="3"/>
    </row>
    <row r="44" spans="1:19" ht="15" customHeight="1" thickBot="1" x14ac:dyDescent="0.3">
      <c r="A44" s="3"/>
      <c r="B44" s="5" t="s">
        <v>206</v>
      </c>
      <c r="C44" s="3"/>
      <c r="D44" s="3"/>
      <c r="E44" s="3"/>
      <c r="F44" s="3">
        <v>5330.3</v>
      </c>
      <c r="G44" s="3" t="s">
        <v>207</v>
      </c>
      <c r="H44" s="3"/>
      <c r="I44" s="3"/>
      <c r="J44" s="3"/>
      <c r="K44" s="3"/>
      <c r="L44" s="5" t="s">
        <v>206</v>
      </c>
      <c r="M44" s="3"/>
      <c r="N44" s="3"/>
      <c r="O44" s="3"/>
      <c r="P44" s="3">
        <v>5301.1</v>
      </c>
      <c r="Q44" s="3" t="s">
        <v>207</v>
      </c>
      <c r="R44" s="3"/>
      <c r="S44" s="3"/>
    </row>
    <row r="45" spans="1:19" ht="69" customHeight="1" x14ac:dyDescent="0.25">
      <c r="A45" s="175" t="s">
        <v>209</v>
      </c>
      <c r="B45" s="177" t="s">
        <v>210</v>
      </c>
      <c r="C45" s="178"/>
      <c r="D45" s="178"/>
      <c r="E45" s="178"/>
      <c r="F45" s="178"/>
      <c r="G45" s="180" t="s">
        <v>442</v>
      </c>
      <c r="H45" s="181"/>
      <c r="I45" s="175" t="s">
        <v>212</v>
      </c>
      <c r="J45" s="51"/>
      <c r="K45" s="175" t="s">
        <v>209</v>
      </c>
      <c r="L45" s="177" t="s">
        <v>210</v>
      </c>
      <c r="M45" s="178"/>
      <c r="N45" s="178"/>
      <c r="O45" s="178"/>
      <c r="P45" s="178"/>
      <c r="Q45" s="180" t="s">
        <v>442</v>
      </c>
      <c r="R45" s="181"/>
      <c r="S45" s="175" t="s">
        <v>212</v>
      </c>
    </row>
    <row r="46" spans="1:19" ht="15" customHeight="1" thickBot="1" x14ac:dyDescent="0.3">
      <c r="A46" s="176"/>
      <c r="B46" s="179"/>
      <c r="C46" s="179"/>
      <c r="D46" s="179"/>
      <c r="E46" s="179"/>
      <c r="F46" s="179"/>
      <c r="G46" s="182"/>
      <c r="H46" s="183"/>
      <c r="I46" s="184"/>
      <c r="J46" s="52"/>
      <c r="K46" s="176"/>
      <c r="L46" s="179"/>
      <c r="M46" s="179"/>
      <c r="N46" s="179"/>
      <c r="O46" s="179"/>
      <c r="P46" s="179"/>
      <c r="Q46" s="182"/>
      <c r="R46" s="183"/>
      <c r="S46" s="184"/>
    </row>
    <row r="47" spans="1:19" ht="7.5" customHeight="1" x14ac:dyDescent="0.25">
      <c r="A47" s="185" t="s">
        <v>213</v>
      </c>
      <c r="B47" s="187" t="s">
        <v>354</v>
      </c>
      <c r="C47" s="188"/>
      <c r="D47" s="188"/>
      <c r="E47" s="188"/>
      <c r="F47" s="188"/>
      <c r="G47" s="190">
        <v>62830.14</v>
      </c>
      <c r="H47" s="191"/>
      <c r="I47" s="192"/>
      <c r="J47" s="53"/>
      <c r="K47" s="185" t="s">
        <v>213</v>
      </c>
      <c r="L47" s="187" t="s">
        <v>354</v>
      </c>
      <c r="M47" s="188"/>
      <c r="N47" s="188"/>
      <c r="O47" s="188"/>
      <c r="P47" s="188"/>
      <c r="Q47" s="190">
        <v>94442.54</v>
      </c>
      <c r="R47" s="191"/>
      <c r="S47" s="192"/>
    </row>
    <row r="48" spans="1:19" ht="17.25" customHeight="1" thickBot="1" x14ac:dyDescent="0.3">
      <c r="A48" s="186"/>
      <c r="B48" s="189"/>
      <c r="C48" s="189"/>
      <c r="D48" s="189"/>
      <c r="E48" s="189"/>
      <c r="F48" s="189"/>
      <c r="G48" s="193"/>
      <c r="H48" s="194"/>
      <c r="I48" s="128"/>
      <c r="J48" s="54"/>
      <c r="K48" s="186"/>
      <c r="L48" s="189"/>
      <c r="M48" s="189"/>
      <c r="N48" s="189"/>
      <c r="O48" s="189"/>
      <c r="P48" s="189"/>
      <c r="Q48" s="193"/>
      <c r="R48" s="194"/>
      <c r="S48" s="128"/>
    </row>
    <row r="49" spans="1:19" ht="13.5" customHeight="1" x14ac:dyDescent="0.25">
      <c r="A49" s="6"/>
      <c r="B49" s="161" t="s">
        <v>214</v>
      </c>
      <c r="C49" s="162"/>
      <c r="D49" s="162"/>
      <c r="E49" s="162"/>
      <c r="F49" s="162"/>
      <c r="G49" s="163">
        <f>1.42*12*F44</f>
        <v>90828.312000000005</v>
      </c>
      <c r="H49" s="164"/>
      <c r="I49" s="169" t="s">
        <v>215</v>
      </c>
      <c r="J49" s="42"/>
      <c r="K49" s="6"/>
      <c r="L49" s="161" t="s">
        <v>214</v>
      </c>
      <c r="M49" s="162"/>
      <c r="N49" s="162"/>
      <c r="O49" s="162"/>
      <c r="P49" s="162"/>
      <c r="Q49" s="163">
        <f>1.05*12*P44</f>
        <v>66793.860000000015</v>
      </c>
      <c r="R49" s="164"/>
      <c r="S49" s="169" t="s">
        <v>215</v>
      </c>
    </row>
    <row r="50" spans="1:19" ht="28.5" customHeight="1" thickBot="1" x14ac:dyDescent="0.3">
      <c r="A50" s="7"/>
      <c r="B50" s="171" t="s">
        <v>216</v>
      </c>
      <c r="C50" s="172"/>
      <c r="D50" s="172"/>
      <c r="E50" s="172"/>
      <c r="F50" s="172"/>
      <c r="G50" s="165"/>
      <c r="H50" s="166"/>
      <c r="I50" s="170"/>
      <c r="J50" s="43"/>
      <c r="K50" s="7"/>
      <c r="L50" s="171" t="s">
        <v>216</v>
      </c>
      <c r="M50" s="172"/>
      <c r="N50" s="172"/>
      <c r="O50" s="172"/>
      <c r="P50" s="172"/>
      <c r="Q50" s="165"/>
      <c r="R50" s="166"/>
      <c r="S50" s="170"/>
    </row>
    <row r="51" spans="1:19" ht="13.5" customHeight="1" thickBot="1" x14ac:dyDescent="0.3">
      <c r="A51" s="7"/>
      <c r="B51" s="173" t="s">
        <v>217</v>
      </c>
      <c r="C51" s="174"/>
      <c r="D51" s="174"/>
      <c r="E51" s="174"/>
      <c r="F51" s="174"/>
      <c r="G51" s="167"/>
      <c r="H51" s="168"/>
      <c r="I51" s="8" t="s">
        <v>218</v>
      </c>
      <c r="J51" s="43"/>
      <c r="K51" s="7"/>
      <c r="L51" s="173" t="s">
        <v>217</v>
      </c>
      <c r="M51" s="174"/>
      <c r="N51" s="174"/>
      <c r="O51" s="174"/>
      <c r="P51" s="174"/>
      <c r="Q51" s="167"/>
      <c r="R51" s="168"/>
      <c r="S51" s="8" t="s">
        <v>218</v>
      </c>
    </row>
    <row r="52" spans="1:19" ht="18.75" customHeight="1" thickBot="1" x14ac:dyDescent="0.3">
      <c r="A52" s="7"/>
      <c r="B52" s="141" t="s">
        <v>219</v>
      </c>
      <c r="C52" s="142"/>
      <c r="D52" s="142"/>
      <c r="E52" s="142"/>
      <c r="F52" s="142"/>
      <c r="G52" s="143">
        <f>1748.85*3*12</f>
        <v>62958.599999999991</v>
      </c>
      <c r="H52" s="144"/>
      <c r="I52" s="8" t="s">
        <v>220</v>
      </c>
      <c r="J52" s="55"/>
      <c r="K52" s="7"/>
      <c r="L52" s="141" t="s">
        <v>219</v>
      </c>
      <c r="M52" s="142"/>
      <c r="N52" s="142"/>
      <c r="O52" s="142"/>
      <c r="P52" s="142"/>
      <c r="Q52" s="143">
        <f>1748.85*3*12</f>
        <v>62958.599999999991</v>
      </c>
      <c r="R52" s="144"/>
      <c r="S52" s="8" t="s">
        <v>220</v>
      </c>
    </row>
    <row r="53" spans="1:19" ht="18.75" customHeight="1" thickBot="1" x14ac:dyDescent="0.3">
      <c r="A53" s="7"/>
      <c r="B53" s="141" t="s">
        <v>221</v>
      </c>
      <c r="C53" s="142"/>
      <c r="D53" s="142"/>
      <c r="E53" s="142"/>
      <c r="F53" s="142"/>
      <c r="G53" s="143">
        <f>0.474*12*F44</f>
        <v>30318.7464</v>
      </c>
      <c r="H53" s="144"/>
      <c r="I53" s="8" t="s">
        <v>222</v>
      </c>
      <c r="J53" s="56"/>
      <c r="K53" s="7"/>
      <c r="L53" s="141" t="s">
        <v>221</v>
      </c>
      <c r="M53" s="142"/>
      <c r="N53" s="142"/>
      <c r="O53" s="142"/>
      <c r="P53" s="142"/>
      <c r="Q53" s="143">
        <f>0.4*12*P44</f>
        <v>25445.280000000006</v>
      </c>
      <c r="R53" s="144"/>
      <c r="S53" s="8" t="s">
        <v>222</v>
      </c>
    </row>
    <row r="54" spans="1:19" ht="13.5" customHeight="1" x14ac:dyDescent="0.25">
      <c r="A54" s="9"/>
      <c r="B54" s="145" t="s">
        <v>223</v>
      </c>
      <c r="C54" s="146"/>
      <c r="D54" s="146"/>
      <c r="E54" s="146"/>
      <c r="F54" s="146"/>
      <c r="G54" s="86">
        <f>1.59*12*F44</f>
        <v>101702.12400000001</v>
      </c>
      <c r="H54" s="147"/>
      <c r="I54" s="152" t="s">
        <v>224</v>
      </c>
      <c r="J54" s="56"/>
      <c r="K54" s="9"/>
      <c r="L54" s="145" t="s">
        <v>223</v>
      </c>
      <c r="M54" s="146"/>
      <c r="N54" s="146"/>
      <c r="O54" s="146"/>
      <c r="P54" s="146"/>
      <c r="Q54" s="86">
        <f>1.54*12*P44</f>
        <v>97964.328000000009</v>
      </c>
      <c r="R54" s="147"/>
      <c r="S54" s="152" t="s">
        <v>224</v>
      </c>
    </row>
    <row r="55" spans="1:19" ht="13.5" customHeight="1" x14ac:dyDescent="0.25">
      <c r="A55" s="10"/>
      <c r="B55" s="155" t="s">
        <v>226</v>
      </c>
      <c r="C55" s="156"/>
      <c r="D55" s="156"/>
      <c r="E55" s="156"/>
      <c r="F55" s="156"/>
      <c r="G55" s="148"/>
      <c r="H55" s="149"/>
      <c r="I55" s="153"/>
      <c r="J55" s="57"/>
      <c r="K55" s="10"/>
      <c r="L55" s="155" t="s">
        <v>226</v>
      </c>
      <c r="M55" s="156"/>
      <c r="N55" s="156"/>
      <c r="O55" s="156"/>
      <c r="P55" s="156"/>
      <c r="Q55" s="148"/>
      <c r="R55" s="149"/>
      <c r="S55" s="153"/>
    </row>
    <row r="56" spans="1:19" ht="13.5" customHeight="1" thickBot="1" x14ac:dyDescent="0.3">
      <c r="A56" s="10"/>
      <c r="B56" s="157" t="s">
        <v>227</v>
      </c>
      <c r="C56" s="158"/>
      <c r="D56" s="158"/>
      <c r="E56" s="158"/>
      <c r="F56" s="158"/>
      <c r="G56" s="148"/>
      <c r="H56" s="149"/>
      <c r="I56" s="154"/>
      <c r="J56" s="43"/>
      <c r="K56" s="10"/>
      <c r="L56" s="157" t="s">
        <v>227</v>
      </c>
      <c r="M56" s="158"/>
      <c r="N56" s="158"/>
      <c r="O56" s="158"/>
      <c r="P56" s="158"/>
      <c r="Q56" s="148"/>
      <c r="R56" s="149"/>
      <c r="S56" s="154"/>
    </row>
    <row r="57" spans="1:19" ht="13.5" customHeight="1" thickBot="1" x14ac:dyDescent="0.3">
      <c r="A57" s="10"/>
      <c r="B57" s="159" t="s">
        <v>228</v>
      </c>
      <c r="C57" s="160"/>
      <c r="D57" s="160"/>
      <c r="E57" s="160"/>
      <c r="F57" s="160"/>
      <c r="G57" s="150"/>
      <c r="H57" s="151"/>
      <c r="I57" s="11" t="s">
        <v>229</v>
      </c>
      <c r="J57" s="43"/>
      <c r="K57" s="10"/>
      <c r="L57" s="159" t="s">
        <v>228</v>
      </c>
      <c r="M57" s="160"/>
      <c r="N57" s="160"/>
      <c r="O57" s="160"/>
      <c r="P57" s="160"/>
      <c r="Q57" s="150"/>
      <c r="R57" s="151"/>
      <c r="S57" s="11" t="s">
        <v>229</v>
      </c>
    </row>
    <row r="58" spans="1:19" ht="13.5" customHeight="1" x14ac:dyDescent="0.25">
      <c r="A58" s="12"/>
      <c r="B58" s="125" t="s">
        <v>230</v>
      </c>
      <c r="C58" s="126"/>
      <c r="D58" s="126"/>
      <c r="E58" s="126"/>
      <c r="F58" s="126"/>
      <c r="G58" s="86">
        <f>0.048*12*F44</f>
        <v>3070.2528000000007</v>
      </c>
      <c r="H58" s="87"/>
      <c r="I58" s="129" t="s">
        <v>220</v>
      </c>
      <c r="J58" s="43"/>
      <c r="K58" s="12"/>
      <c r="L58" s="125" t="s">
        <v>230</v>
      </c>
      <c r="M58" s="126"/>
      <c r="N58" s="126"/>
      <c r="O58" s="126"/>
      <c r="P58" s="126"/>
      <c r="Q58" s="86">
        <f>0.048*12*P44</f>
        <v>3053.4336000000008</v>
      </c>
      <c r="R58" s="87"/>
      <c r="S58" s="129" t="s">
        <v>220</v>
      </c>
    </row>
    <row r="59" spans="1:19" ht="15.75" customHeight="1" thickBot="1" x14ac:dyDescent="0.3">
      <c r="A59" s="7"/>
      <c r="B59" s="131" t="s">
        <v>231</v>
      </c>
      <c r="C59" s="132"/>
      <c r="D59" s="132"/>
      <c r="E59" s="132"/>
      <c r="F59" s="132"/>
      <c r="G59" s="127"/>
      <c r="H59" s="128"/>
      <c r="I59" s="130"/>
      <c r="J59" s="43"/>
      <c r="K59" s="7"/>
      <c r="L59" s="131" t="s">
        <v>231</v>
      </c>
      <c r="M59" s="132"/>
      <c r="N59" s="132"/>
      <c r="O59" s="132"/>
      <c r="P59" s="132"/>
      <c r="Q59" s="127"/>
      <c r="R59" s="128"/>
      <c r="S59" s="130"/>
    </row>
    <row r="60" spans="1:19" ht="15.75" customHeight="1" thickBot="1" x14ac:dyDescent="0.3">
      <c r="A60" s="13"/>
      <c r="B60" s="133" t="s">
        <v>232</v>
      </c>
      <c r="C60" s="134"/>
      <c r="D60" s="134"/>
      <c r="E60" s="134"/>
      <c r="F60" s="134"/>
      <c r="G60" s="135"/>
      <c r="H60" s="136"/>
      <c r="I60" s="14"/>
      <c r="J60" s="58"/>
      <c r="K60" s="13"/>
      <c r="L60" s="133" t="s">
        <v>232</v>
      </c>
      <c r="M60" s="134"/>
      <c r="N60" s="134"/>
      <c r="O60" s="134"/>
      <c r="P60" s="134"/>
      <c r="Q60" s="135"/>
      <c r="R60" s="136"/>
      <c r="S60" s="14"/>
    </row>
    <row r="61" spans="1:19" ht="24.75" customHeight="1" thickBot="1" x14ac:dyDescent="0.3">
      <c r="A61" s="13"/>
      <c r="B61" s="84" t="s">
        <v>233</v>
      </c>
      <c r="C61" s="85"/>
      <c r="D61" s="85"/>
      <c r="E61" s="85"/>
      <c r="F61" s="85"/>
      <c r="G61" s="86">
        <f>0.94*12*F44</f>
        <v>60125.784</v>
      </c>
      <c r="H61" s="87"/>
      <c r="I61" s="92" t="s">
        <v>609</v>
      </c>
      <c r="J61" s="41"/>
      <c r="K61" s="13"/>
      <c r="L61" s="84" t="s">
        <v>233</v>
      </c>
      <c r="M61" s="85"/>
      <c r="N61" s="85"/>
      <c r="O61" s="85"/>
      <c r="P61" s="85"/>
      <c r="Q61" s="86">
        <f>1.15*12*P44</f>
        <v>73155.179999999993</v>
      </c>
      <c r="R61" s="87"/>
      <c r="S61" s="317" t="s">
        <v>613</v>
      </c>
    </row>
    <row r="62" spans="1:19" ht="46.5" customHeight="1" x14ac:dyDescent="0.25">
      <c r="A62" s="118"/>
      <c r="B62" s="121" t="s">
        <v>226</v>
      </c>
      <c r="C62" s="122"/>
      <c r="D62" s="122"/>
      <c r="E62" s="122"/>
      <c r="F62" s="122"/>
      <c r="G62" s="88"/>
      <c r="H62" s="89"/>
      <c r="I62" s="93"/>
      <c r="J62" s="41"/>
      <c r="K62" s="118"/>
      <c r="L62" s="121" t="s">
        <v>226</v>
      </c>
      <c r="M62" s="122"/>
      <c r="N62" s="122"/>
      <c r="O62" s="122"/>
      <c r="P62" s="122"/>
      <c r="Q62" s="88"/>
      <c r="R62" s="89"/>
      <c r="S62" s="318"/>
    </row>
    <row r="63" spans="1:19" ht="43.5" customHeight="1" x14ac:dyDescent="0.25">
      <c r="A63" s="119"/>
      <c r="B63" s="121" t="s">
        <v>227</v>
      </c>
      <c r="C63" s="122"/>
      <c r="D63" s="122"/>
      <c r="E63" s="122"/>
      <c r="F63" s="122"/>
      <c r="G63" s="88"/>
      <c r="H63" s="89"/>
      <c r="I63" s="93"/>
      <c r="J63" s="42"/>
      <c r="K63" s="119"/>
      <c r="L63" s="121" t="s">
        <v>227</v>
      </c>
      <c r="M63" s="122"/>
      <c r="N63" s="122"/>
      <c r="O63" s="122"/>
      <c r="P63" s="122"/>
      <c r="Q63" s="88"/>
      <c r="R63" s="89"/>
      <c r="S63" s="318"/>
    </row>
    <row r="64" spans="1:19" ht="49.5" customHeight="1" x14ac:dyDescent="0.25">
      <c r="A64" s="119"/>
      <c r="B64" s="121" t="s">
        <v>228</v>
      </c>
      <c r="C64" s="122"/>
      <c r="D64" s="122"/>
      <c r="E64" s="122"/>
      <c r="F64" s="122"/>
      <c r="G64" s="88"/>
      <c r="H64" s="89"/>
      <c r="I64" s="93"/>
      <c r="J64" s="43"/>
      <c r="K64" s="119"/>
      <c r="L64" s="121" t="s">
        <v>228</v>
      </c>
      <c r="M64" s="122"/>
      <c r="N64" s="122"/>
      <c r="O64" s="122"/>
      <c r="P64" s="122"/>
      <c r="Q64" s="88"/>
      <c r="R64" s="89"/>
      <c r="S64" s="318"/>
    </row>
    <row r="65" spans="1:19" ht="64.5" customHeight="1" thickBot="1" x14ac:dyDescent="0.3">
      <c r="A65" s="120"/>
      <c r="B65" s="123" t="s">
        <v>234</v>
      </c>
      <c r="C65" s="124"/>
      <c r="D65" s="124"/>
      <c r="E65" s="124"/>
      <c r="F65" s="124"/>
      <c r="G65" s="90"/>
      <c r="H65" s="91"/>
      <c r="I65" s="94"/>
      <c r="J65" s="59"/>
      <c r="K65" s="120"/>
      <c r="L65" s="123" t="s">
        <v>234</v>
      </c>
      <c r="M65" s="124"/>
      <c r="N65" s="124"/>
      <c r="O65" s="124"/>
      <c r="P65" s="124"/>
      <c r="Q65" s="90"/>
      <c r="R65" s="91"/>
      <c r="S65" s="319"/>
    </row>
    <row r="66" spans="1:19" ht="0.75" customHeight="1" thickBot="1" x14ac:dyDescent="0.3">
      <c r="A66" s="15"/>
      <c r="B66" s="137" t="s">
        <v>248</v>
      </c>
      <c r="C66" s="138"/>
      <c r="D66" s="138"/>
      <c r="E66" s="138"/>
      <c r="F66" s="138"/>
      <c r="G66" s="139"/>
      <c r="H66" s="140"/>
      <c r="I66" s="16"/>
      <c r="J66" s="58"/>
      <c r="K66" s="15"/>
      <c r="L66" s="137" t="s">
        <v>248</v>
      </c>
      <c r="M66" s="138"/>
      <c r="N66" s="138"/>
      <c r="O66" s="138"/>
      <c r="P66" s="138"/>
      <c r="Q66" s="139"/>
      <c r="R66" s="140"/>
      <c r="S66" s="16"/>
    </row>
    <row r="67" spans="1:19" ht="30" hidden="1" customHeight="1" x14ac:dyDescent="0.25">
      <c r="A67" s="15"/>
      <c r="B67" s="137" t="s">
        <v>235</v>
      </c>
      <c r="C67" s="138"/>
      <c r="D67" s="138"/>
      <c r="E67" s="138"/>
      <c r="F67" s="138"/>
      <c r="G67" s="139"/>
      <c r="H67" s="140"/>
      <c r="I67" s="16"/>
      <c r="J67" s="45"/>
      <c r="K67" s="15"/>
      <c r="L67" s="137" t="s">
        <v>235</v>
      </c>
      <c r="M67" s="138"/>
      <c r="N67" s="138"/>
      <c r="O67" s="138"/>
      <c r="P67" s="138"/>
      <c r="Q67" s="139"/>
      <c r="R67" s="140"/>
      <c r="S67" s="16"/>
    </row>
    <row r="68" spans="1:19" ht="32.25" customHeight="1" thickBot="1" x14ac:dyDescent="0.3">
      <c r="A68" s="17"/>
      <c r="B68" s="78" t="s">
        <v>237</v>
      </c>
      <c r="C68" s="79"/>
      <c r="D68" s="79"/>
      <c r="E68" s="79"/>
      <c r="F68" s="79"/>
      <c r="G68" s="86">
        <f>13468+20410</f>
        <v>33878</v>
      </c>
      <c r="H68" s="87"/>
      <c r="I68" s="108" t="s">
        <v>229</v>
      </c>
      <c r="J68" s="41"/>
      <c r="K68" s="17"/>
      <c r="L68" s="78" t="s">
        <v>237</v>
      </c>
      <c r="M68" s="79"/>
      <c r="N68" s="79"/>
      <c r="O68" s="79"/>
      <c r="P68" s="79"/>
      <c r="Q68" s="86">
        <f>114+40913</f>
        <v>41027</v>
      </c>
      <c r="R68" s="87"/>
      <c r="S68" s="108" t="s">
        <v>229</v>
      </c>
    </row>
    <row r="69" spans="1:19" ht="15.75" customHeight="1" thickBot="1" x14ac:dyDescent="0.3">
      <c r="A69" s="18"/>
      <c r="B69" s="110" t="s">
        <v>238</v>
      </c>
      <c r="C69" s="111"/>
      <c r="D69" s="111"/>
      <c r="E69" s="111"/>
      <c r="F69" s="111"/>
      <c r="G69" s="90"/>
      <c r="H69" s="91"/>
      <c r="I69" s="109"/>
      <c r="J69" s="41"/>
      <c r="K69" s="18"/>
      <c r="L69" s="110" t="s">
        <v>238</v>
      </c>
      <c r="M69" s="111"/>
      <c r="N69" s="111"/>
      <c r="O69" s="111"/>
      <c r="P69" s="111"/>
      <c r="Q69" s="90"/>
      <c r="R69" s="91"/>
      <c r="S69" s="109"/>
    </row>
    <row r="70" spans="1:19" ht="18.75" customHeight="1" thickBot="1" x14ac:dyDescent="0.3">
      <c r="A70" s="19"/>
      <c r="B70" s="112" t="s">
        <v>239</v>
      </c>
      <c r="C70" s="113"/>
      <c r="D70" s="113"/>
      <c r="E70" s="113"/>
      <c r="F70" s="113"/>
      <c r="G70" s="114">
        <f>SUM(G49:H69)</f>
        <v>382881.81920000003</v>
      </c>
      <c r="H70" s="115"/>
      <c r="I70" s="20"/>
      <c r="J70" s="60"/>
      <c r="K70" s="19"/>
      <c r="L70" s="112" t="s">
        <v>239</v>
      </c>
      <c r="M70" s="113"/>
      <c r="N70" s="113"/>
      <c r="O70" s="113"/>
      <c r="P70" s="113"/>
      <c r="Q70" s="114">
        <f>SUM(Q49:R69)</f>
        <v>370397.68160000001</v>
      </c>
      <c r="R70" s="115"/>
      <c r="S70" s="20"/>
    </row>
    <row r="71" spans="1:19" ht="18.75" customHeight="1" thickBot="1" x14ac:dyDescent="0.3">
      <c r="A71" s="21"/>
      <c r="B71" s="101" t="s">
        <v>240</v>
      </c>
      <c r="C71" s="102"/>
      <c r="D71" s="102"/>
      <c r="E71" s="102"/>
      <c r="F71" s="102"/>
      <c r="G71" s="116">
        <f>G70*1.2</f>
        <v>459458.18304000003</v>
      </c>
      <c r="H71" s="117"/>
      <c r="I71" s="22"/>
      <c r="J71" s="60"/>
      <c r="K71" s="21"/>
      <c r="L71" s="101" t="s">
        <v>240</v>
      </c>
      <c r="M71" s="102"/>
      <c r="N71" s="102"/>
      <c r="O71" s="102"/>
      <c r="P71" s="102"/>
      <c r="Q71" s="116">
        <f>Q70*1.2</f>
        <v>444477.21792000002</v>
      </c>
      <c r="R71" s="117"/>
      <c r="S71" s="22"/>
    </row>
    <row r="72" spans="1:19" ht="18.75" customHeight="1" thickBot="1" x14ac:dyDescent="0.3">
      <c r="A72" s="24"/>
      <c r="B72" s="96" t="s">
        <v>443</v>
      </c>
      <c r="C72" s="97"/>
      <c r="D72" s="97"/>
      <c r="E72" s="97"/>
      <c r="F72" s="97"/>
      <c r="G72" s="311">
        <v>459147</v>
      </c>
      <c r="H72" s="312"/>
      <c r="I72" s="313"/>
      <c r="J72" s="60"/>
      <c r="K72" s="24"/>
      <c r="L72" s="96" t="s">
        <v>443</v>
      </c>
      <c r="M72" s="97"/>
      <c r="N72" s="97"/>
      <c r="O72" s="97"/>
      <c r="P72" s="97"/>
      <c r="Q72" s="311">
        <v>440820.14</v>
      </c>
      <c r="R72" s="312"/>
      <c r="S72" s="313"/>
    </row>
    <row r="73" spans="1:19" ht="18.75" customHeight="1" thickBot="1" x14ac:dyDescent="0.3">
      <c r="A73" s="25"/>
      <c r="B73" s="101" t="s">
        <v>242</v>
      </c>
      <c r="C73" s="102"/>
      <c r="D73" s="102"/>
      <c r="E73" s="102"/>
      <c r="F73" s="102"/>
      <c r="G73" s="343">
        <v>465153.42</v>
      </c>
      <c r="H73" s="344"/>
      <c r="I73" s="345"/>
      <c r="K73" s="25"/>
      <c r="L73" s="101" t="s">
        <v>242</v>
      </c>
      <c r="M73" s="102"/>
      <c r="N73" s="102"/>
      <c r="O73" s="102"/>
      <c r="P73" s="102"/>
      <c r="Q73" s="343">
        <v>468328.41</v>
      </c>
      <c r="R73" s="344"/>
      <c r="S73" s="345"/>
    </row>
    <row r="74" spans="1:19" s="69" customFormat="1" ht="18.75" customHeight="1" thickBot="1" x14ac:dyDescent="0.3">
      <c r="A74" s="19"/>
      <c r="B74" s="106" t="s">
        <v>444</v>
      </c>
      <c r="C74" s="107"/>
      <c r="D74" s="107"/>
      <c r="E74" s="107"/>
      <c r="F74" s="107"/>
      <c r="G74" s="307">
        <v>56823.72</v>
      </c>
      <c r="H74" s="308"/>
      <c r="I74" s="309"/>
      <c r="J74" s="70"/>
      <c r="K74" s="19"/>
      <c r="L74" s="106" t="s">
        <v>444</v>
      </c>
      <c r="M74" s="107"/>
      <c r="N74" s="107"/>
      <c r="O74" s="107"/>
      <c r="P74" s="107"/>
      <c r="Q74" s="307">
        <v>66934.27</v>
      </c>
      <c r="R74" s="308"/>
      <c r="S74" s="309"/>
    </row>
    <row r="75" spans="1:19" x14ac:dyDescent="0.25">
      <c r="A75" s="4"/>
      <c r="B75" s="339"/>
      <c r="C75" s="339"/>
      <c r="D75" s="339"/>
      <c r="E75" s="339"/>
      <c r="F75" s="339"/>
      <c r="G75" s="339"/>
      <c r="H75" s="339"/>
      <c r="I75" s="339"/>
      <c r="K75" s="4"/>
      <c r="L75" s="339"/>
      <c r="M75" s="339"/>
      <c r="N75" s="339"/>
      <c r="O75" s="339"/>
      <c r="P75" s="339"/>
      <c r="Q75" s="339"/>
      <c r="R75" s="339"/>
      <c r="S75" s="339"/>
    </row>
    <row r="76" spans="1:19" x14ac:dyDescent="0.25">
      <c r="A76" s="4"/>
      <c r="B76" s="339"/>
      <c r="C76" s="339"/>
      <c r="D76" s="339"/>
      <c r="E76" s="339"/>
      <c r="F76" s="339"/>
      <c r="G76" s="339"/>
      <c r="H76" s="339"/>
      <c r="I76" s="339"/>
      <c r="K76" s="4"/>
      <c r="L76" s="26"/>
      <c r="M76" s="26"/>
      <c r="N76" s="26"/>
      <c r="O76" s="26"/>
      <c r="P76" s="26"/>
      <c r="Q76" s="27"/>
      <c r="R76" s="3"/>
      <c r="S76" s="3"/>
    </row>
    <row r="77" spans="1:19" x14ac:dyDescent="0.25">
      <c r="A77" s="4"/>
      <c r="B77" s="339"/>
      <c r="C77" s="339"/>
      <c r="D77" s="339"/>
      <c r="E77" s="339"/>
      <c r="F77" s="339"/>
      <c r="G77" s="339"/>
      <c r="H77" s="339"/>
      <c r="I77" s="339"/>
      <c r="K77" s="4"/>
      <c r="L77" s="26"/>
      <c r="M77" s="26"/>
      <c r="N77" s="26"/>
      <c r="O77" s="26"/>
      <c r="P77" s="26"/>
      <c r="Q77" s="27"/>
      <c r="R77" s="3"/>
      <c r="S77" s="3"/>
    </row>
    <row r="78" spans="1:19" ht="15.75" x14ac:dyDescent="0.25">
      <c r="A78" s="30"/>
      <c r="C78" s="30"/>
      <c r="K78" s="30"/>
      <c r="N78" s="30"/>
    </row>
    <row r="79" spans="1:19" ht="15.75" x14ac:dyDescent="0.25">
      <c r="A79" s="30"/>
      <c r="C79" s="30"/>
      <c r="K79" s="30"/>
      <c r="N79" s="30"/>
    </row>
    <row r="80" spans="1:19" x14ac:dyDescent="0.25">
      <c r="A80" s="3"/>
      <c r="B80" s="3"/>
      <c r="C80" s="3"/>
      <c r="D80" s="3"/>
      <c r="E80" s="4" t="s">
        <v>204</v>
      </c>
      <c r="F80" s="3"/>
      <c r="G80" s="3"/>
      <c r="H80" s="3"/>
      <c r="I80" s="3"/>
      <c r="K80" s="3"/>
      <c r="L80" s="3"/>
      <c r="M80" s="3"/>
      <c r="N80" s="3"/>
      <c r="O80" s="4" t="s">
        <v>204</v>
      </c>
      <c r="P80" s="3"/>
      <c r="Q80" s="3"/>
      <c r="R80" s="3"/>
      <c r="S80" s="3"/>
    </row>
    <row r="81" spans="1:19" ht="15" customHeight="1" x14ac:dyDescent="0.25">
      <c r="A81" s="3" t="s">
        <v>205</v>
      </c>
      <c r="B81" s="3"/>
      <c r="C81" s="3"/>
      <c r="D81" s="3" t="s">
        <v>379</v>
      </c>
      <c r="E81" s="3"/>
      <c r="F81" s="3"/>
      <c r="G81" s="3"/>
      <c r="H81" s="3"/>
      <c r="I81" s="3"/>
      <c r="K81" s="3" t="s">
        <v>205</v>
      </c>
      <c r="L81" s="3"/>
      <c r="M81" s="3"/>
      <c r="N81" s="3" t="s">
        <v>380</v>
      </c>
      <c r="O81" s="3"/>
      <c r="P81" s="3"/>
      <c r="Q81" s="3"/>
      <c r="R81" s="3"/>
      <c r="S81" s="3"/>
    </row>
    <row r="82" spans="1:19" ht="18.75" customHeight="1" x14ac:dyDescent="0.25">
      <c r="A82" s="3"/>
      <c r="B82" s="5" t="s">
        <v>440</v>
      </c>
      <c r="C82" s="3"/>
      <c r="D82" s="3"/>
      <c r="E82" s="3"/>
      <c r="F82" s="3"/>
      <c r="G82" s="3"/>
      <c r="H82" s="3"/>
      <c r="I82" s="3"/>
      <c r="J82" s="3"/>
      <c r="K82" s="3"/>
      <c r="L82" s="5" t="s">
        <v>440</v>
      </c>
      <c r="M82" s="3"/>
      <c r="N82" s="3"/>
      <c r="O82" s="3"/>
      <c r="P82" s="3"/>
      <c r="Q82" s="3"/>
      <c r="R82" s="3"/>
      <c r="S82" s="3"/>
    </row>
    <row r="83" spans="1:19" ht="15" customHeight="1" thickBot="1" x14ac:dyDescent="0.3">
      <c r="A83" s="3"/>
      <c r="B83" s="5" t="s">
        <v>206</v>
      </c>
      <c r="C83" s="3"/>
      <c r="D83" s="3"/>
      <c r="E83" s="3"/>
      <c r="F83" s="3">
        <v>4017.2</v>
      </c>
      <c r="G83" s="3" t="s">
        <v>207</v>
      </c>
      <c r="H83" s="3"/>
      <c r="I83" s="3"/>
      <c r="J83" s="3"/>
      <c r="K83" s="3"/>
      <c r="L83" s="5" t="s">
        <v>206</v>
      </c>
      <c r="M83" s="3"/>
      <c r="N83" s="3"/>
      <c r="O83" s="3"/>
      <c r="P83" s="3">
        <v>3974.8</v>
      </c>
      <c r="Q83" s="3" t="s">
        <v>207</v>
      </c>
      <c r="R83" s="3"/>
      <c r="S83" s="3"/>
    </row>
    <row r="84" spans="1:19" ht="5.25" customHeight="1" x14ac:dyDescent="0.25">
      <c r="A84" s="175" t="s">
        <v>209</v>
      </c>
      <c r="B84" s="177" t="s">
        <v>210</v>
      </c>
      <c r="C84" s="178"/>
      <c r="D84" s="178"/>
      <c r="E84" s="178"/>
      <c r="F84" s="178"/>
      <c r="G84" s="180" t="s">
        <v>442</v>
      </c>
      <c r="H84" s="181"/>
      <c r="I84" s="175" t="s">
        <v>212</v>
      </c>
      <c r="J84" s="31"/>
      <c r="K84" s="175" t="s">
        <v>209</v>
      </c>
      <c r="L84" s="177" t="s">
        <v>210</v>
      </c>
      <c r="M84" s="178"/>
      <c r="N84" s="178"/>
      <c r="O84" s="178"/>
      <c r="P84" s="178"/>
      <c r="Q84" s="180" t="s">
        <v>442</v>
      </c>
      <c r="R84" s="181"/>
      <c r="S84" s="175" t="s">
        <v>212</v>
      </c>
    </row>
    <row r="85" spans="1:19" ht="56.25" customHeight="1" thickBot="1" x14ac:dyDescent="0.3">
      <c r="A85" s="176"/>
      <c r="B85" s="179"/>
      <c r="C85" s="179"/>
      <c r="D85" s="179"/>
      <c r="E85" s="179"/>
      <c r="F85" s="179"/>
      <c r="G85" s="182"/>
      <c r="H85" s="183"/>
      <c r="I85" s="184"/>
      <c r="J85" s="32"/>
      <c r="K85" s="176"/>
      <c r="L85" s="179"/>
      <c r="M85" s="179"/>
      <c r="N85" s="179"/>
      <c r="O85" s="179"/>
      <c r="P85" s="179"/>
      <c r="Q85" s="182"/>
      <c r="R85" s="183"/>
      <c r="S85" s="184"/>
    </row>
    <row r="86" spans="1:19" ht="13.5" customHeight="1" x14ac:dyDescent="0.25">
      <c r="A86" s="185" t="s">
        <v>213</v>
      </c>
      <c r="B86" s="187" t="s">
        <v>354</v>
      </c>
      <c r="C86" s="188"/>
      <c r="D86" s="188"/>
      <c r="E86" s="188"/>
      <c r="F86" s="188"/>
      <c r="G86" s="190">
        <v>52974.02</v>
      </c>
      <c r="H86" s="191"/>
      <c r="I86" s="192"/>
      <c r="J86" s="33"/>
      <c r="K86" s="185" t="s">
        <v>213</v>
      </c>
      <c r="L86" s="187" t="s">
        <v>354</v>
      </c>
      <c r="M86" s="188"/>
      <c r="N86" s="188"/>
      <c r="O86" s="188"/>
      <c r="P86" s="188"/>
      <c r="Q86" s="190">
        <v>61280.04</v>
      </c>
      <c r="R86" s="191"/>
      <c r="S86" s="192"/>
    </row>
    <row r="87" spans="1:19" ht="13.5" customHeight="1" thickBot="1" x14ac:dyDescent="0.3">
      <c r="A87" s="186"/>
      <c r="B87" s="189"/>
      <c r="C87" s="189"/>
      <c r="D87" s="189"/>
      <c r="E87" s="189"/>
      <c r="F87" s="189"/>
      <c r="G87" s="193"/>
      <c r="H87" s="194"/>
      <c r="I87" s="128"/>
      <c r="J87" s="34"/>
      <c r="K87" s="186"/>
      <c r="L87" s="189"/>
      <c r="M87" s="189"/>
      <c r="N87" s="189"/>
      <c r="O87" s="189"/>
      <c r="P87" s="189"/>
      <c r="Q87" s="193"/>
      <c r="R87" s="194"/>
      <c r="S87" s="128"/>
    </row>
    <row r="88" spans="1:19" ht="13.5" customHeight="1" x14ac:dyDescent="0.25">
      <c r="A88" s="6"/>
      <c r="B88" s="161" t="s">
        <v>214</v>
      </c>
      <c r="C88" s="162"/>
      <c r="D88" s="162"/>
      <c r="E88" s="162"/>
      <c r="F88" s="162"/>
      <c r="G88" s="163">
        <f>0.99*12*F83</f>
        <v>47724.335999999996</v>
      </c>
      <c r="H88" s="164"/>
      <c r="I88" s="169" t="s">
        <v>215</v>
      </c>
      <c r="J88" s="35"/>
      <c r="K88" s="6"/>
      <c r="L88" s="161" t="s">
        <v>214</v>
      </c>
      <c r="M88" s="162"/>
      <c r="N88" s="162"/>
      <c r="O88" s="162"/>
      <c r="P88" s="162"/>
      <c r="Q88" s="163">
        <f>1.59*12*P83</f>
        <v>75839.184000000008</v>
      </c>
      <c r="R88" s="164"/>
      <c r="S88" s="169" t="s">
        <v>215</v>
      </c>
    </row>
    <row r="89" spans="1:19" ht="27" customHeight="1" thickBot="1" x14ac:dyDescent="0.3">
      <c r="A89" s="7"/>
      <c r="B89" s="171" t="s">
        <v>216</v>
      </c>
      <c r="C89" s="172"/>
      <c r="D89" s="172"/>
      <c r="E89" s="172"/>
      <c r="F89" s="172"/>
      <c r="G89" s="165"/>
      <c r="H89" s="166"/>
      <c r="I89" s="170"/>
      <c r="J89" s="36"/>
      <c r="K89" s="7"/>
      <c r="L89" s="171" t="s">
        <v>216</v>
      </c>
      <c r="M89" s="172"/>
      <c r="N89" s="172"/>
      <c r="O89" s="172"/>
      <c r="P89" s="172"/>
      <c r="Q89" s="165"/>
      <c r="R89" s="166"/>
      <c r="S89" s="170"/>
    </row>
    <row r="90" spans="1:19" ht="13.5" customHeight="1" thickBot="1" x14ac:dyDescent="0.3">
      <c r="A90" s="7"/>
      <c r="B90" s="173" t="s">
        <v>217</v>
      </c>
      <c r="C90" s="174"/>
      <c r="D90" s="174"/>
      <c r="E90" s="174"/>
      <c r="F90" s="174"/>
      <c r="G90" s="167"/>
      <c r="H90" s="168"/>
      <c r="I90" s="8" t="s">
        <v>218</v>
      </c>
      <c r="J90" s="36"/>
      <c r="K90" s="7"/>
      <c r="L90" s="173" t="s">
        <v>217</v>
      </c>
      <c r="M90" s="174"/>
      <c r="N90" s="174"/>
      <c r="O90" s="174"/>
      <c r="P90" s="174"/>
      <c r="Q90" s="167"/>
      <c r="R90" s="168"/>
      <c r="S90" s="8" t="s">
        <v>218</v>
      </c>
    </row>
    <row r="91" spans="1:19" ht="20.25" customHeight="1" thickBot="1" x14ac:dyDescent="0.3">
      <c r="A91" s="7"/>
      <c r="B91" s="141" t="s">
        <v>219</v>
      </c>
      <c r="C91" s="142"/>
      <c r="D91" s="142"/>
      <c r="E91" s="142"/>
      <c r="F91" s="142"/>
      <c r="G91" s="143">
        <v>0</v>
      </c>
      <c r="H91" s="144"/>
      <c r="I91" s="8" t="s">
        <v>220</v>
      </c>
      <c r="J91" s="37"/>
      <c r="K91" s="7"/>
      <c r="L91" s="141" t="s">
        <v>219</v>
      </c>
      <c r="M91" s="142"/>
      <c r="N91" s="142"/>
      <c r="O91" s="142"/>
      <c r="P91" s="142"/>
      <c r="Q91" s="143">
        <v>0</v>
      </c>
      <c r="R91" s="144"/>
      <c r="S91" s="8" t="s">
        <v>220</v>
      </c>
    </row>
    <row r="92" spans="1:19" ht="20.25" customHeight="1" thickBot="1" x14ac:dyDescent="0.3">
      <c r="A92" s="7"/>
      <c r="B92" s="141" t="s">
        <v>221</v>
      </c>
      <c r="C92" s="142"/>
      <c r="D92" s="142"/>
      <c r="E92" s="142"/>
      <c r="F92" s="142"/>
      <c r="G92" s="143">
        <f>0.3*12*F83</f>
        <v>14461.919999999998</v>
      </c>
      <c r="H92" s="144"/>
      <c r="I92" s="8" t="s">
        <v>222</v>
      </c>
      <c r="J92" s="38"/>
      <c r="K92" s="7"/>
      <c r="L92" s="141" t="s">
        <v>221</v>
      </c>
      <c r="M92" s="142"/>
      <c r="N92" s="142"/>
      <c r="O92" s="142"/>
      <c r="P92" s="142"/>
      <c r="Q92" s="143">
        <f>0.4*12*P83</f>
        <v>19079.040000000005</v>
      </c>
      <c r="R92" s="144"/>
      <c r="S92" s="8" t="s">
        <v>222</v>
      </c>
    </row>
    <row r="93" spans="1:19" ht="13.5" customHeight="1" x14ac:dyDescent="0.25">
      <c r="A93" s="9"/>
      <c r="B93" s="145" t="s">
        <v>223</v>
      </c>
      <c r="C93" s="146"/>
      <c r="D93" s="146"/>
      <c r="E93" s="146"/>
      <c r="F93" s="146"/>
      <c r="G93" s="86">
        <f>1.72*12*F83</f>
        <v>82915.008000000002</v>
      </c>
      <c r="H93" s="147"/>
      <c r="I93" s="152" t="s">
        <v>224</v>
      </c>
      <c r="J93" s="38"/>
      <c r="K93" s="9"/>
      <c r="L93" s="145" t="s">
        <v>223</v>
      </c>
      <c r="M93" s="146"/>
      <c r="N93" s="146"/>
      <c r="O93" s="146"/>
      <c r="P93" s="146"/>
      <c r="Q93" s="86">
        <f>1.72*12*P83</f>
        <v>82039.872000000003</v>
      </c>
      <c r="R93" s="147"/>
      <c r="S93" s="152" t="s">
        <v>224</v>
      </c>
    </row>
    <row r="94" spans="1:19" ht="13.5" customHeight="1" x14ac:dyDescent="0.25">
      <c r="A94" s="10"/>
      <c r="B94" s="155" t="s">
        <v>226</v>
      </c>
      <c r="C94" s="156"/>
      <c r="D94" s="156"/>
      <c r="E94" s="156"/>
      <c r="F94" s="156"/>
      <c r="G94" s="148"/>
      <c r="H94" s="149"/>
      <c r="I94" s="153"/>
      <c r="J94" s="39"/>
      <c r="K94" s="10"/>
      <c r="L94" s="155" t="s">
        <v>226</v>
      </c>
      <c r="M94" s="156"/>
      <c r="N94" s="156"/>
      <c r="O94" s="156"/>
      <c r="P94" s="156"/>
      <c r="Q94" s="148"/>
      <c r="R94" s="149"/>
      <c r="S94" s="153"/>
    </row>
    <row r="95" spans="1:19" ht="13.5" customHeight="1" thickBot="1" x14ac:dyDescent="0.3">
      <c r="A95" s="10"/>
      <c r="B95" s="157" t="s">
        <v>227</v>
      </c>
      <c r="C95" s="158"/>
      <c r="D95" s="158"/>
      <c r="E95" s="158"/>
      <c r="F95" s="158"/>
      <c r="G95" s="148"/>
      <c r="H95" s="149"/>
      <c r="I95" s="154"/>
      <c r="J95" s="36"/>
      <c r="K95" s="10"/>
      <c r="L95" s="157" t="s">
        <v>227</v>
      </c>
      <c r="M95" s="158"/>
      <c r="N95" s="158"/>
      <c r="O95" s="158"/>
      <c r="P95" s="158"/>
      <c r="Q95" s="148"/>
      <c r="R95" s="149"/>
      <c r="S95" s="154"/>
    </row>
    <row r="96" spans="1:19" ht="13.5" customHeight="1" thickBot="1" x14ac:dyDescent="0.3">
      <c r="A96" s="10"/>
      <c r="B96" s="159" t="s">
        <v>228</v>
      </c>
      <c r="C96" s="160"/>
      <c r="D96" s="160"/>
      <c r="E96" s="160"/>
      <c r="F96" s="160"/>
      <c r="G96" s="150"/>
      <c r="H96" s="151"/>
      <c r="I96" s="11" t="s">
        <v>229</v>
      </c>
      <c r="J96" s="36"/>
      <c r="K96" s="10"/>
      <c r="L96" s="159" t="s">
        <v>228</v>
      </c>
      <c r="M96" s="160"/>
      <c r="N96" s="160"/>
      <c r="O96" s="160"/>
      <c r="P96" s="160"/>
      <c r="Q96" s="150"/>
      <c r="R96" s="151"/>
      <c r="S96" s="11" t="s">
        <v>229</v>
      </c>
    </row>
    <row r="97" spans="1:19" ht="15.75" customHeight="1" x14ac:dyDescent="0.25">
      <c r="A97" s="12"/>
      <c r="B97" s="125" t="s">
        <v>230</v>
      </c>
      <c r="C97" s="126"/>
      <c r="D97" s="126"/>
      <c r="E97" s="126"/>
      <c r="F97" s="126"/>
      <c r="G97" s="86">
        <f>0.04*12*F83</f>
        <v>1928.2559999999999</v>
      </c>
      <c r="H97" s="87"/>
      <c r="I97" s="129" t="s">
        <v>220</v>
      </c>
      <c r="J97" s="36"/>
      <c r="K97" s="12"/>
      <c r="L97" s="125" t="s">
        <v>230</v>
      </c>
      <c r="M97" s="126"/>
      <c r="N97" s="126"/>
      <c r="O97" s="126"/>
      <c r="P97" s="126"/>
      <c r="Q97" s="86">
        <f>0.04*12*P83</f>
        <v>1907.904</v>
      </c>
      <c r="R97" s="87"/>
      <c r="S97" s="129" t="s">
        <v>220</v>
      </c>
    </row>
    <row r="98" spans="1:19" ht="15.75" customHeight="1" thickBot="1" x14ac:dyDescent="0.3">
      <c r="A98" s="7"/>
      <c r="B98" s="131" t="s">
        <v>231</v>
      </c>
      <c r="C98" s="132"/>
      <c r="D98" s="132"/>
      <c r="E98" s="132"/>
      <c r="F98" s="132"/>
      <c r="G98" s="127"/>
      <c r="H98" s="128"/>
      <c r="I98" s="130"/>
      <c r="J98" s="36"/>
      <c r="K98" s="7"/>
      <c r="L98" s="131" t="s">
        <v>231</v>
      </c>
      <c r="M98" s="132"/>
      <c r="N98" s="132"/>
      <c r="O98" s="132"/>
      <c r="P98" s="132"/>
      <c r="Q98" s="127"/>
      <c r="R98" s="128"/>
      <c r="S98" s="130"/>
    </row>
    <row r="99" spans="1:19" ht="15.75" thickBot="1" x14ac:dyDescent="0.3">
      <c r="A99" s="13"/>
      <c r="B99" s="133" t="s">
        <v>232</v>
      </c>
      <c r="C99" s="134"/>
      <c r="D99" s="134"/>
      <c r="E99" s="134"/>
      <c r="F99" s="134"/>
      <c r="G99" s="135"/>
      <c r="H99" s="136"/>
      <c r="I99" s="14"/>
      <c r="J99" s="40"/>
      <c r="K99" s="13"/>
      <c r="L99" s="133" t="s">
        <v>232</v>
      </c>
      <c r="M99" s="134"/>
      <c r="N99" s="134"/>
      <c r="O99" s="134"/>
      <c r="P99" s="134"/>
      <c r="Q99" s="135"/>
      <c r="R99" s="136"/>
      <c r="S99" s="14"/>
    </row>
    <row r="100" spans="1:19" ht="17.25" customHeight="1" thickBot="1" x14ac:dyDescent="0.3">
      <c r="A100" s="13"/>
      <c r="B100" s="84" t="s">
        <v>233</v>
      </c>
      <c r="C100" s="85"/>
      <c r="D100" s="85"/>
      <c r="E100" s="85"/>
      <c r="F100" s="85"/>
      <c r="G100" s="86">
        <f>1.22*12*F83</f>
        <v>58811.807999999997</v>
      </c>
      <c r="H100" s="87"/>
      <c r="I100" s="317" t="s">
        <v>615</v>
      </c>
      <c r="J100" s="41"/>
      <c r="K100" s="13"/>
      <c r="L100" s="84" t="s">
        <v>233</v>
      </c>
      <c r="M100" s="85"/>
      <c r="N100" s="85"/>
      <c r="O100" s="85"/>
      <c r="P100" s="85"/>
      <c r="Q100" s="86">
        <f>1.21*12*P83</f>
        <v>57714.095999999998</v>
      </c>
      <c r="R100" s="87"/>
      <c r="S100" s="92" t="s">
        <v>616</v>
      </c>
    </row>
    <row r="101" spans="1:19" ht="46.5" customHeight="1" x14ac:dyDescent="0.25">
      <c r="A101" s="118"/>
      <c r="B101" s="121" t="s">
        <v>226</v>
      </c>
      <c r="C101" s="122"/>
      <c r="D101" s="122"/>
      <c r="E101" s="122"/>
      <c r="F101" s="122"/>
      <c r="G101" s="88"/>
      <c r="H101" s="89"/>
      <c r="I101" s="318"/>
      <c r="J101" s="41"/>
      <c r="K101" s="118"/>
      <c r="L101" s="121" t="s">
        <v>226</v>
      </c>
      <c r="M101" s="122"/>
      <c r="N101" s="122"/>
      <c r="O101" s="122"/>
      <c r="P101" s="122"/>
      <c r="Q101" s="88"/>
      <c r="R101" s="89"/>
      <c r="S101" s="93"/>
    </row>
    <row r="102" spans="1:19" ht="39.75" customHeight="1" x14ac:dyDescent="0.25">
      <c r="A102" s="119"/>
      <c r="B102" s="121" t="s">
        <v>227</v>
      </c>
      <c r="C102" s="122"/>
      <c r="D102" s="122"/>
      <c r="E102" s="122"/>
      <c r="F102" s="122"/>
      <c r="G102" s="88"/>
      <c r="H102" s="89"/>
      <c r="I102" s="318"/>
      <c r="J102" s="41"/>
      <c r="K102" s="119"/>
      <c r="L102" s="121" t="s">
        <v>227</v>
      </c>
      <c r="M102" s="122"/>
      <c r="N102" s="122"/>
      <c r="O102" s="122"/>
      <c r="P102" s="122"/>
      <c r="Q102" s="88"/>
      <c r="R102" s="89"/>
      <c r="S102" s="93"/>
    </row>
    <row r="103" spans="1:19" ht="42.75" customHeight="1" x14ac:dyDescent="0.25">
      <c r="A103" s="119"/>
      <c r="B103" s="121" t="s">
        <v>228</v>
      </c>
      <c r="C103" s="122"/>
      <c r="D103" s="122"/>
      <c r="E103" s="122"/>
      <c r="F103" s="122"/>
      <c r="G103" s="88"/>
      <c r="H103" s="89"/>
      <c r="I103" s="318"/>
      <c r="J103" s="42"/>
      <c r="K103" s="119"/>
      <c r="L103" s="121" t="s">
        <v>228</v>
      </c>
      <c r="M103" s="122"/>
      <c r="N103" s="122"/>
      <c r="O103" s="122"/>
      <c r="P103" s="122"/>
      <c r="Q103" s="88"/>
      <c r="R103" s="89"/>
      <c r="S103" s="93"/>
    </row>
    <row r="104" spans="1:19" ht="60" customHeight="1" thickBot="1" x14ac:dyDescent="0.3">
      <c r="A104" s="120"/>
      <c r="B104" s="123" t="s">
        <v>234</v>
      </c>
      <c r="C104" s="124"/>
      <c r="D104" s="124"/>
      <c r="E104" s="124"/>
      <c r="F104" s="124"/>
      <c r="G104" s="90"/>
      <c r="H104" s="91"/>
      <c r="I104" s="319"/>
      <c r="J104" s="43"/>
      <c r="K104" s="120"/>
      <c r="L104" s="123" t="s">
        <v>234</v>
      </c>
      <c r="M104" s="124"/>
      <c r="N104" s="124"/>
      <c r="O104" s="124"/>
      <c r="P104" s="124"/>
      <c r="Q104" s="90"/>
      <c r="R104" s="91"/>
      <c r="S104" s="94"/>
    </row>
    <row r="105" spans="1:19" ht="14.25" hidden="1" customHeight="1" x14ac:dyDescent="0.25">
      <c r="A105" s="15"/>
      <c r="B105" s="137" t="s">
        <v>248</v>
      </c>
      <c r="C105" s="138"/>
      <c r="D105" s="138"/>
      <c r="E105" s="138"/>
      <c r="F105" s="138"/>
      <c r="G105" s="139"/>
      <c r="H105" s="140"/>
      <c r="I105" s="16"/>
      <c r="J105" s="44"/>
      <c r="K105" s="15"/>
      <c r="L105" s="137" t="s">
        <v>248</v>
      </c>
      <c r="M105" s="138"/>
      <c r="N105" s="138"/>
      <c r="O105" s="138"/>
      <c r="P105" s="138"/>
      <c r="Q105" s="139"/>
      <c r="R105" s="140"/>
      <c r="S105" s="16"/>
    </row>
    <row r="106" spans="1:19" ht="27" hidden="1" customHeight="1" x14ac:dyDescent="0.25">
      <c r="A106" s="15"/>
      <c r="B106" s="137" t="s">
        <v>235</v>
      </c>
      <c r="C106" s="138"/>
      <c r="D106" s="138"/>
      <c r="E106" s="138"/>
      <c r="F106" s="138"/>
      <c r="G106" s="139"/>
      <c r="H106" s="140"/>
      <c r="I106" s="16"/>
      <c r="J106" s="40"/>
      <c r="K106" s="15"/>
      <c r="L106" s="137" t="s">
        <v>235</v>
      </c>
      <c r="M106" s="138"/>
      <c r="N106" s="138"/>
      <c r="O106" s="138"/>
      <c r="P106" s="138"/>
      <c r="Q106" s="139"/>
      <c r="R106" s="140"/>
      <c r="S106" s="16"/>
    </row>
    <row r="107" spans="1:19" ht="30.75" customHeight="1" thickBot="1" x14ac:dyDescent="0.3">
      <c r="A107" s="17"/>
      <c r="B107" s="78" t="s">
        <v>237</v>
      </c>
      <c r="C107" s="79"/>
      <c r="D107" s="79"/>
      <c r="E107" s="79"/>
      <c r="F107" s="79"/>
      <c r="G107" s="86">
        <v>7955</v>
      </c>
      <c r="H107" s="87"/>
      <c r="I107" s="108" t="s">
        <v>229</v>
      </c>
      <c r="J107" s="27"/>
      <c r="K107" s="17"/>
      <c r="L107" s="78" t="s">
        <v>237</v>
      </c>
      <c r="M107" s="79"/>
      <c r="N107" s="79"/>
      <c r="O107" s="79"/>
      <c r="P107" s="79"/>
      <c r="Q107" s="86">
        <v>7955</v>
      </c>
      <c r="R107" s="87"/>
      <c r="S107" s="108" t="s">
        <v>229</v>
      </c>
    </row>
    <row r="108" spans="1:19" ht="15" customHeight="1" thickBot="1" x14ac:dyDescent="0.3">
      <c r="A108" s="18"/>
      <c r="B108" s="110" t="s">
        <v>238</v>
      </c>
      <c r="C108" s="111"/>
      <c r="D108" s="111"/>
      <c r="E108" s="111"/>
      <c r="F108" s="111"/>
      <c r="G108" s="90"/>
      <c r="H108" s="91"/>
      <c r="I108" s="109"/>
      <c r="J108" s="45"/>
      <c r="K108" s="18"/>
      <c r="L108" s="110" t="s">
        <v>238</v>
      </c>
      <c r="M108" s="111"/>
      <c r="N108" s="111"/>
      <c r="O108" s="111"/>
      <c r="P108" s="111"/>
      <c r="Q108" s="90"/>
      <c r="R108" s="91"/>
      <c r="S108" s="109"/>
    </row>
    <row r="109" spans="1:19" ht="23.25" customHeight="1" thickBot="1" x14ac:dyDescent="0.3">
      <c r="A109" s="19"/>
      <c r="B109" s="112" t="s">
        <v>239</v>
      </c>
      <c r="C109" s="113"/>
      <c r="D109" s="113"/>
      <c r="E109" s="113"/>
      <c r="F109" s="113"/>
      <c r="G109" s="114">
        <f>SUM(G88:H108)</f>
        <v>213796.32799999998</v>
      </c>
      <c r="H109" s="115"/>
      <c r="I109" s="20"/>
      <c r="J109" s="46"/>
      <c r="K109" s="19"/>
      <c r="L109" s="112" t="s">
        <v>239</v>
      </c>
      <c r="M109" s="113"/>
      <c r="N109" s="113"/>
      <c r="O109" s="113"/>
      <c r="P109" s="113"/>
      <c r="Q109" s="114">
        <f>SUM(Q88:R108)</f>
        <v>244535.09600000002</v>
      </c>
      <c r="R109" s="115"/>
      <c r="S109" s="20"/>
    </row>
    <row r="110" spans="1:19" ht="22.5" customHeight="1" thickBot="1" x14ac:dyDescent="0.3">
      <c r="A110" s="21"/>
      <c r="B110" s="101" t="s">
        <v>240</v>
      </c>
      <c r="C110" s="102"/>
      <c r="D110" s="102"/>
      <c r="E110" s="102"/>
      <c r="F110" s="102"/>
      <c r="G110" s="116">
        <f>G109*1.2</f>
        <v>256555.59359999996</v>
      </c>
      <c r="H110" s="117"/>
      <c r="I110" s="22"/>
      <c r="J110" s="47"/>
      <c r="K110" s="21"/>
      <c r="L110" s="101" t="s">
        <v>240</v>
      </c>
      <c r="M110" s="102"/>
      <c r="N110" s="102"/>
      <c r="O110" s="102"/>
      <c r="P110" s="102"/>
      <c r="Q110" s="116">
        <f>Q109*1.2</f>
        <v>293442.1152</v>
      </c>
      <c r="R110" s="117"/>
      <c r="S110" s="22"/>
    </row>
    <row r="111" spans="1:19" ht="22.5" customHeight="1" thickBot="1" x14ac:dyDescent="0.3">
      <c r="A111" s="24"/>
      <c r="B111" s="96" t="s">
        <v>443</v>
      </c>
      <c r="C111" s="97"/>
      <c r="D111" s="97"/>
      <c r="E111" s="97"/>
      <c r="F111" s="97"/>
      <c r="G111" s="311">
        <v>258912.66</v>
      </c>
      <c r="H111" s="312"/>
      <c r="I111" s="313"/>
      <c r="J111" s="47"/>
      <c r="K111" s="24"/>
      <c r="L111" s="96" t="s">
        <v>443</v>
      </c>
      <c r="M111" s="97"/>
      <c r="N111" s="97"/>
      <c r="O111" s="97"/>
      <c r="P111" s="97"/>
      <c r="Q111" s="311">
        <v>290684.11</v>
      </c>
      <c r="R111" s="312"/>
      <c r="S111" s="313"/>
    </row>
    <row r="112" spans="1:19" ht="22.5" customHeight="1" thickBot="1" x14ac:dyDescent="0.3">
      <c r="A112" s="19"/>
      <c r="B112" s="101" t="s">
        <v>242</v>
      </c>
      <c r="C112" s="102"/>
      <c r="D112" s="102"/>
      <c r="E112" s="102"/>
      <c r="F112" s="102"/>
      <c r="G112" s="307">
        <v>256459.9</v>
      </c>
      <c r="H112" s="308"/>
      <c r="I112" s="309"/>
      <c r="J112" s="47"/>
      <c r="K112" s="19"/>
      <c r="L112" s="101" t="s">
        <v>242</v>
      </c>
      <c r="M112" s="102"/>
      <c r="N112" s="102"/>
      <c r="O112" s="102"/>
      <c r="P112" s="102"/>
      <c r="Q112" s="307">
        <v>298298.33</v>
      </c>
      <c r="R112" s="308"/>
      <c r="S112" s="309"/>
    </row>
    <row r="113" spans="1:19" ht="22.5" customHeight="1" thickBot="1" x14ac:dyDescent="0.3">
      <c r="A113" s="19"/>
      <c r="B113" s="106" t="s">
        <v>444</v>
      </c>
      <c r="C113" s="107"/>
      <c r="D113" s="107"/>
      <c r="E113" s="107"/>
      <c r="F113" s="107"/>
      <c r="G113" s="307">
        <v>55426.78</v>
      </c>
      <c r="H113" s="308"/>
      <c r="I113" s="309"/>
      <c r="J113" s="47"/>
      <c r="K113" s="19"/>
      <c r="L113" s="106" t="s">
        <v>444</v>
      </c>
      <c r="M113" s="107"/>
      <c r="N113" s="107"/>
      <c r="O113" s="107"/>
      <c r="P113" s="107"/>
      <c r="Q113" s="307">
        <v>53665.82</v>
      </c>
      <c r="R113" s="308"/>
      <c r="S113" s="309"/>
    </row>
    <row r="114" spans="1:19" ht="30.6" customHeight="1" x14ac:dyDescent="0.25">
      <c r="A114" s="4"/>
      <c r="B114" s="195" t="s">
        <v>614</v>
      </c>
      <c r="C114" s="195"/>
      <c r="D114" s="195"/>
      <c r="E114" s="195"/>
      <c r="F114" s="195"/>
      <c r="G114" s="195"/>
      <c r="H114" s="195"/>
      <c r="I114" s="195"/>
      <c r="K114" s="4"/>
      <c r="L114" s="351"/>
      <c r="M114" s="351"/>
      <c r="N114" s="351"/>
      <c r="O114" s="351"/>
      <c r="P114" s="351"/>
      <c r="Q114" s="351"/>
      <c r="R114" s="351"/>
      <c r="S114" s="351"/>
    </row>
    <row r="115" spans="1:19" x14ac:dyDescent="0.25">
      <c r="E115" s="50"/>
      <c r="I115" s="5"/>
      <c r="O115" s="50"/>
      <c r="S115" s="5"/>
    </row>
    <row r="116" spans="1:19" x14ac:dyDescent="0.25">
      <c r="A116" s="3"/>
      <c r="I116" s="77"/>
      <c r="K116" s="3"/>
      <c r="S116" s="5"/>
    </row>
    <row r="117" spans="1:19" ht="15.75" x14ac:dyDescent="0.25">
      <c r="B117" s="30"/>
      <c r="K117" s="30"/>
      <c r="L117" s="30"/>
    </row>
    <row r="118" spans="1:19" ht="15.75" x14ac:dyDescent="0.25">
      <c r="B118" s="30"/>
      <c r="K118" s="30"/>
      <c r="L118" s="30"/>
    </row>
    <row r="119" spans="1:19" x14ac:dyDescent="0.25">
      <c r="A119" s="3"/>
      <c r="B119" s="3"/>
      <c r="C119" s="3"/>
      <c r="D119" s="3"/>
      <c r="E119" s="4" t="s">
        <v>204</v>
      </c>
      <c r="F119" s="3"/>
      <c r="G119" s="3"/>
      <c r="H119" s="3"/>
      <c r="I119" s="3"/>
      <c r="K119" s="3"/>
      <c r="L119" s="3"/>
      <c r="M119" s="3"/>
      <c r="N119" s="3"/>
      <c r="O119" s="4" t="s">
        <v>204</v>
      </c>
      <c r="P119" s="3"/>
      <c r="Q119" s="3"/>
      <c r="R119" s="3"/>
      <c r="S119" s="3"/>
    </row>
    <row r="120" spans="1:19" ht="15.75" customHeight="1" x14ac:dyDescent="0.25">
      <c r="A120" s="3" t="s">
        <v>205</v>
      </c>
      <c r="B120" s="3"/>
      <c r="C120" s="3"/>
      <c r="D120" s="3" t="s">
        <v>381</v>
      </c>
      <c r="E120" s="3"/>
      <c r="F120" s="3"/>
      <c r="G120" s="3"/>
      <c r="H120" s="3"/>
      <c r="I120" s="3"/>
      <c r="K120" s="3" t="s">
        <v>205</v>
      </c>
      <c r="L120" s="3"/>
      <c r="M120" s="3"/>
      <c r="N120" s="3" t="s">
        <v>382</v>
      </c>
      <c r="O120" s="3"/>
      <c r="P120" s="3"/>
      <c r="Q120" s="3"/>
      <c r="R120" s="3"/>
      <c r="S120" s="3"/>
    </row>
    <row r="121" spans="1:19" ht="18" customHeight="1" x14ac:dyDescent="0.25">
      <c r="A121" s="3"/>
      <c r="B121" s="5" t="s">
        <v>440</v>
      </c>
      <c r="C121" s="3"/>
      <c r="D121" s="3"/>
      <c r="E121" s="3"/>
      <c r="F121" s="3"/>
      <c r="G121" s="3"/>
      <c r="H121" s="3"/>
      <c r="I121" s="3"/>
      <c r="K121" s="3"/>
      <c r="L121" s="5" t="s">
        <v>440</v>
      </c>
      <c r="M121" s="3"/>
      <c r="N121" s="3"/>
      <c r="O121" s="3"/>
      <c r="P121" s="3"/>
      <c r="Q121" s="3"/>
      <c r="R121" s="3"/>
      <c r="S121" s="3"/>
    </row>
    <row r="122" spans="1:19" ht="16.5" customHeight="1" thickBot="1" x14ac:dyDescent="0.3">
      <c r="A122" s="3"/>
      <c r="B122" s="5" t="s">
        <v>206</v>
      </c>
      <c r="C122" s="3"/>
      <c r="D122" s="3"/>
      <c r="E122" s="3"/>
      <c r="F122" s="3">
        <v>1454.9</v>
      </c>
      <c r="G122" s="3" t="s">
        <v>207</v>
      </c>
      <c r="H122" s="3"/>
      <c r="I122" s="3"/>
      <c r="J122" s="3"/>
      <c r="K122" s="3"/>
      <c r="L122" s="5" t="s">
        <v>206</v>
      </c>
      <c r="M122" s="3"/>
      <c r="N122" s="3"/>
      <c r="O122" s="3"/>
      <c r="P122" s="3">
        <v>1800.9</v>
      </c>
      <c r="Q122" s="3" t="s">
        <v>207</v>
      </c>
      <c r="R122" s="3"/>
      <c r="S122" s="3"/>
    </row>
    <row r="123" spans="1:19" ht="5.25" customHeight="1" thickBot="1" x14ac:dyDescent="0.3">
      <c r="A123" s="175" t="s">
        <v>209</v>
      </c>
      <c r="B123" s="177" t="s">
        <v>210</v>
      </c>
      <c r="C123" s="178"/>
      <c r="D123" s="178"/>
      <c r="E123" s="178"/>
      <c r="F123" s="178"/>
      <c r="G123" s="180" t="s">
        <v>442</v>
      </c>
      <c r="H123" s="181"/>
      <c r="I123" s="175" t="s">
        <v>212</v>
      </c>
      <c r="J123" s="3"/>
      <c r="K123" s="175" t="s">
        <v>209</v>
      </c>
      <c r="L123" s="177" t="s">
        <v>210</v>
      </c>
      <c r="M123" s="178"/>
      <c r="N123" s="178"/>
      <c r="O123" s="178"/>
      <c r="P123" s="178"/>
      <c r="Q123" s="180" t="s">
        <v>442</v>
      </c>
      <c r="R123" s="181"/>
      <c r="S123" s="175" t="s">
        <v>212</v>
      </c>
    </row>
    <row r="124" spans="1:19" ht="55.5" customHeight="1" thickBot="1" x14ac:dyDescent="0.3">
      <c r="A124" s="176"/>
      <c r="B124" s="179"/>
      <c r="C124" s="179"/>
      <c r="D124" s="179"/>
      <c r="E124" s="179"/>
      <c r="F124" s="179"/>
      <c r="G124" s="182"/>
      <c r="H124" s="183"/>
      <c r="I124" s="184"/>
      <c r="J124" s="31"/>
      <c r="K124" s="176"/>
      <c r="L124" s="179"/>
      <c r="M124" s="179"/>
      <c r="N124" s="179"/>
      <c r="O124" s="179"/>
      <c r="P124" s="179"/>
      <c r="Q124" s="182"/>
      <c r="R124" s="183"/>
      <c r="S124" s="184"/>
    </row>
    <row r="125" spans="1:19" ht="13.5" customHeight="1" thickBot="1" x14ac:dyDescent="0.3">
      <c r="A125" s="185" t="s">
        <v>213</v>
      </c>
      <c r="B125" s="187" t="s">
        <v>354</v>
      </c>
      <c r="C125" s="188"/>
      <c r="D125" s="188"/>
      <c r="E125" s="188"/>
      <c r="F125" s="188"/>
      <c r="G125" s="190">
        <v>1374.27</v>
      </c>
      <c r="H125" s="191"/>
      <c r="I125" s="192"/>
      <c r="J125" s="32"/>
      <c r="K125" s="185" t="s">
        <v>213</v>
      </c>
      <c r="L125" s="187" t="s">
        <v>354</v>
      </c>
      <c r="M125" s="188"/>
      <c r="N125" s="188"/>
      <c r="O125" s="188"/>
      <c r="P125" s="188"/>
      <c r="Q125" s="190">
        <v>8549.7800000000007</v>
      </c>
      <c r="R125" s="191"/>
      <c r="S125" s="192"/>
    </row>
    <row r="126" spans="1:19" ht="13.5" customHeight="1" thickBot="1" x14ac:dyDescent="0.3">
      <c r="A126" s="186"/>
      <c r="B126" s="189"/>
      <c r="C126" s="189"/>
      <c r="D126" s="189"/>
      <c r="E126" s="189"/>
      <c r="F126" s="189"/>
      <c r="G126" s="193"/>
      <c r="H126" s="194"/>
      <c r="I126" s="128"/>
      <c r="J126" s="33"/>
      <c r="K126" s="186"/>
      <c r="L126" s="189"/>
      <c r="M126" s="189"/>
      <c r="N126" s="189"/>
      <c r="O126" s="189"/>
      <c r="P126" s="189"/>
      <c r="Q126" s="193"/>
      <c r="R126" s="194"/>
      <c r="S126" s="128"/>
    </row>
    <row r="127" spans="1:19" ht="13.5" customHeight="1" x14ac:dyDescent="0.25">
      <c r="A127" s="6"/>
      <c r="B127" s="161" t="s">
        <v>214</v>
      </c>
      <c r="C127" s="162"/>
      <c r="D127" s="162"/>
      <c r="E127" s="162"/>
      <c r="F127" s="162"/>
      <c r="G127" s="163">
        <f>1.47*12*F122</f>
        <v>25664.436000000002</v>
      </c>
      <c r="H127" s="164"/>
      <c r="I127" s="169" t="s">
        <v>215</v>
      </c>
      <c r="J127" s="36"/>
      <c r="K127" s="6"/>
      <c r="L127" s="161" t="s">
        <v>214</v>
      </c>
      <c r="M127" s="162"/>
      <c r="N127" s="162"/>
      <c r="O127" s="162"/>
      <c r="P127" s="162"/>
      <c r="Q127" s="163">
        <f>1.45*12*P122</f>
        <v>31335.66</v>
      </c>
      <c r="R127" s="164"/>
      <c r="S127" s="169" t="s">
        <v>215</v>
      </c>
    </row>
    <row r="128" spans="1:19" ht="30.75" customHeight="1" thickBot="1" x14ac:dyDescent="0.3">
      <c r="A128" s="7"/>
      <c r="B128" s="171" t="s">
        <v>216</v>
      </c>
      <c r="C128" s="172"/>
      <c r="D128" s="172"/>
      <c r="E128" s="172"/>
      <c r="F128" s="172"/>
      <c r="G128" s="165"/>
      <c r="H128" s="166"/>
      <c r="I128" s="170"/>
      <c r="J128" s="35"/>
      <c r="K128" s="7"/>
      <c r="L128" s="171" t="s">
        <v>216</v>
      </c>
      <c r="M128" s="172"/>
      <c r="N128" s="172"/>
      <c r="O128" s="172"/>
      <c r="P128" s="172"/>
      <c r="Q128" s="165"/>
      <c r="R128" s="166"/>
      <c r="S128" s="170"/>
    </row>
    <row r="129" spans="1:19" ht="13.5" customHeight="1" thickBot="1" x14ac:dyDescent="0.3">
      <c r="A129" s="7"/>
      <c r="B129" s="173" t="s">
        <v>217</v>
      </c>
      <c r="C129" s="174"/>
      <c r="D129" s="174"/>
      <c r="E129" s="174"/>
      <c r="F129" s="174"/>
      <c r="G129" s="167"/>
      <c r="H129" s="168"/>
      <c r="I129" s="8" t="s">
        <v>218</v>
      </c>
      <c r="J129" s="36"/>
      <c r="K129" s="7"/>
      <c r="L129" s="173" t="s">
        <v>217</v>
      </c>
      <c r="M129" s="174"/>
      <c r="N129" s="174"/>
      <c r="O129" s="174"/>
      <c r="P129" s="174"/>
      <c r="Q129" s="167"/>
      <c r="R129" s="168"/>
      <c r="S129" s="8" t="s">
        <v>218</v>
      </c>
    </row>
    <row r="130" spans="1:19" ht="13.5" customHeight="1" thickBot="1" x14ac:dyDescent="0.3">
      <c r="A130" s="7"/>
      <c r="B130" s="141" t="s">
        <v>219</v>
      </c>
      <c r="C130" s="142"/>
      <c r="D130" s="142"/>
      <c r="E130" s="142"/>
      <c r="F130" s="142"/>
      <c r="G130" s="143">
        <v>0</v>
      </c>
      <c r="H130" s="144"/>
      <c r="I130" s="8" t="s">
        <v>220</v>
      </c>
      <c r="J130" s="36"/>
      <c r="K130" s="7"/>
      <c r="L130" s="141" t="s">
        <v>219</v>
      </c>
      <c r="M130" s="142"/>
      <c r="N130" s="142"/>
      <c r="O130" s="142"/>
      <c r="P130" s="142"/>
      <c r="Q130" s="143">
        <v>0</v>
      </c>
      <c r="R130" s="144"/>
      <c r="S130" s="8" t="s">
        <v>220</v>
      </c>
    </row>
    <row r="131" spans="1:19" ht="13.5" customHeight="1" thickBot="1" x14ac:dyDescent="0.3">
      <c r="A131" s="7"/>
      <c r="B131" s="141" t="s">
        <v>221</v>
      </c>
      <c r="C131" s="142"/>
      <c r="D131" s="142"/>
      <c r="E131" s="142"/>
      <c r="F131" s="142"/>
      <c r="G131" s="143">
        <f>0.3*12*F122</f>
        <v>5237.6399999999994</v>
      </c>
      <c r="H131" s="144"/>
      <c r="I131" s="8" t="s">
        <v>222</v>
      </c>
      <c r="J131" s="37"/>
      <c r="K131" s="7"/>
      <c r="L131" s="141" t="s">
        <v>221</v>
      </c>
      <c r="M131" s="142"/>
      <c r="N131" s="142"/>
      <c r="O131" s="142"/>
      <c r="P131" s="142"/>
      <c r="Q131" s="143">
        <f>0.3*12*P122</f>
        <v>6483.24</v>
      </c>
      <c r="R131" s="144"/>
      <c r="S131" s="8" t="s">
        <v>222</v>
      </c>
    </row>
    <row r="132" spans="1:19" ht="13.5" customHeight="1" x14ac:dyDescent="0.25">
      <c r="A132" s="9"/>
      <c r="B132" s="145" t="s">
        <v>223</v>
      </c>
      <c r="C132" s="146"/>
      <c r="D132" s="146"/>
      <c r="E132" s="146"/>
      <c r="F132" s="146"/>
      <c r="G132" s="86">
        <f>1.89*12*F122</f>
        <v>32997.132000000005</v>
      </c>
      <c r="H132" s="147"/>
      <c r="I132" s="152" t="s">
        <v>224</v>
      </c>
      <c r="J132" s="38"/>
      <c r="K132" s="9"/>
      <c r="L132" s="145" t="s">
        <v>223</v>
      </c>
      <c r="M132" s="146"/>
      <c r="N132" s="146"/>
      <c r="O132" s="146"/>
      <c r="P132" s="146"/>
      <c r="Q132" s="86">
        <f>1.99*12*P122</f>
        <v>43005.491999999998</v>
      </c>
      <c r="R132" s="147"/>
      <c r="S132" s="152" t="s">
        <v>224</v>
      </c>
    </row>
    <row r="133" spans="1:19" ht="13.5" customHeight="1" x14ac:dyDescent="0.25">
      <c r="A133" s="10"/>
      <c r="B133" s="155" t="s">
        <v>226</v>
      </c>
      <c r="C133" s="156"/>
      <c r="D133" s="156"/>
      <c r="E133" s="156"/>
      <c r="F133" s="156"/>
      <c r="G133" s="148"/>
      <c r="H133" s="149"/>
      <c r="I133" s="153"/>
      <c r="J133" s="38"/>
      <c r="K133" s="10"/>
      <c r="L133" s="155" t="s">
        <v>226</v>
      </c>
      <c r="M133" s="156"/>
      <c r="N133" s="156"/>
      <c r="O133" s="156"/>
      <c r="P133" s="156"/>
      <c r="Q133" s="148"/>
      <c r="R133" s="149"/>
      <c r="S133" s="153"/>
    </row>
    <row r="134" spans="1:19" ht="13.5" customHeight="1" thickBot="1" x14ac:dyDescent="0.3">
      <c r="A134" s="10"/>
      <c r="B134" s="157" t="s">
        <v>227</v>
      </c>
      <c r="C134" s="158"/>
      <c r="D134" s="158"/>
      <c r="E134" s="158"/>
      <c r="F134" s="158"/>
      <c r="G134" s="148"/>
      <c r="H134" s="149"/>
      <c r="I134" s="154"/>
      <c r="J134" s="39"/>
      <c r="K134" s="10"/>
      <c r="L134" s="157" t="s">
        <v>227</v>
      </c>
      <c r="M134" s="158"/>
      <c r="N134" s="158"/>
      <c r="O134" s="158"/>
      <c r="P134" s="158"/>
      <c r="Q134" s="148"/>
      <c r="R134" s="149"/>
      <c r="S134" s="154"/>
    </row>
    <row r="135" spans="1:19" ht="15.75" customHeight="1" thickBot="1" x14ac:dyDescent="0.3">
      <c r="A135" s="10"/>
      <c r="B135" s="159" t="s">
        <v>228</v>
      </c>
      <c r="C135" s="160"/>
      <c r="D135" s="160"/>
      <c r="E135" s="160"/>
      <c r="F135" s="160"/>
      <c r="G135" s="150"/>
      <c r="H135" s="151"/>
      <c r="I135" s="11" t="s">
        <v>229</v>
      </c>
      <c r="J135" s="36"/>
      <c r="K135" s="10"/>
      <c r="L135" s="159" t="s">
        <v>228</v>
      </c>
      <c r="M135" s="160"/>
      <c r="N135" s="160"/>
      <c r="O135" s="160"/>
      <c r="P135" s="160"/>
      <c r="Q135" s="150"/>
      <c r="R135" s="151"/>
      <c r="S135" s="11" t="s">
        <v>229</v>
      </c>
    </row>
    <row r="136" spans="1:19" ht="15.75" customHeight="1" x14ac:dyDescent="0.25">
      <c r="A136" s="12"/>
      <c r="B136" s="125" t="s">
        <v>230</v>
      </c>
      <c r="C136" s="126"/>
      <c r="D136" s="126"/>
      <c r="E136" s="126"/>
      <c r="F136" s="126"/>
      <c r="G136" s="86">
        <f>0.04*12*F122</f>
        <v>698.35199999999998</v>
      </c>
      <c r="H136" s="87"/>
      <c r="I136" s="129" t="s">
        <v>220</v>
      </c>
      <c r="J136" s="36"/>
      <c r="K136" s="12"/>
      <c r="L136" s="125" t="s">
        <v>230</v>
      </c>
      <c r="M136" s="126"/>
      <c r="N136" s="126"/>
      <c r="O136" s="126"/>
      <c r="P136" s="126"/>
      <c r="Q136" s="86">
        <f>0.048*12*P122</f>
        <v>1037.3184000000001</v>
      </c>
      <c r="R136" s="87"/>
      <c r="S136" s="129" t="s">
        <v>220</v>
      </c>
    </row>
    <row r="137" spans="1:19" ht="15.75" customHeight="1" thickBot="1" x14ac:dyDescent="0.3">
      <c r="A137" s="7"/>
      <c r="B137" s="131" t="s">
        <v>231</v>
      </c>
      <c r="C137" s="132"/>
      <c r="D137" s="132"/>
      <c r="E137" s="132"/>
      <c r="F137" s="132"/>
      <c r="G137" s="127"/>
      <c r="H137" s="128"/>
      <c r="I137" s="130"/>
      <c r="J137" s="36"/>
      <c r="K137" s="7"/>
      <c r="L137" s="131" t="s">
        <v>231</v>
      </c>
      <c r="M137" s="132"/>
      <c r="N137" s="132"/>
      <c r="O137" s="132"/>
      <c r="P137" s="132"/>
      <c r="Q137" s="127"/>
      <c r="R137" s="128"/>
      <c r="S137" s="130"/>
    </row>
    <row r="138" spans="1:19" ht="15.75" thickBot="1" x14ac:dyDescent="0.3">
      <c r="A138" s="13"/>
      <c r="B138" s="133" t="s">
        <v>232</v>
      </c>
      <c r="C138" s="134"/>
      <c r="D138" s="134"/>
      <c r="E138" s="134"/>
      <c r="F138" s="134"/>
      <c r="G138" s="135"/>
      <c r="H138" s="136"/>
      <c r="I138" s="14"/>
      <c r="J138" s="36"/>
      <c r="K138" s="13"/>
      <c r="L138" s="133" t="s">
        <v>232</v>
      </c>
      <c r="M138" s="134"/>
      <c r="N138" s="134"/>
      <c r="O138" s="134"/>
      <c r="P138" s="134"/>
      <c r="Q138" s="135"/>
      <c r="R138" s="136"/>
      <c r="S138" s="14"/>
    </row>
    <row r="139" spans="1:19" ht="27" customHeight="1" thickBot="1" x14ac:dyDescent="0.3">
      <c r="A139" s="13"/>
      <c r="B139" s="84" t="s">
        <v>233</v>
      </c>
      <c r="C139" s="85"/>
      <c r="D139" s="85"/>
      <c r="E139" s="85"/>
      <c r="F139" s="85"/>
      <c r="G139" s="86">
        <f>1.19*12*F122</f>
        <v>20775.972000000002</v>
      </c>
      <c r="H139" s="87"/>
      <c r="I139" s="92" t="s">
        <v>617</v>
      </c>
      <c r="J139" s="41"/>
      <c r="K139" s="13"/>
      <c r="L139" s="84" t="s">
        <v>233</v>
      </c>
      <c r="M139" s="85"/>
      <c r="N139" s="85"/>
      <c r="O139" s="85"/>
      <c r="P139" s="85"/>
      <c r="Q139" s="86">
        <f>1.35*12*P122</f>
        <v>29174.580000000005</v>
      </c>
      <c r="R139" s="87"/>
      <c r="S139" s="92" t="s">
        <v>618</v>
      </c>
    </row>
    <row r="140" spans="1:19" ht="36.75" customHeight="1" x14ac:dyDescent="0.25">
      <c r="A140" s="118"/>
      <c r="B140" s="121" t="s">
        <v>226</v>
      </c>
      <c r="C140" s="122"/>
      <c r="D140" s="122"/>
      <c r="E140" s="122"/>
      <c r="F140" s="122"/>
      <c r="G140" s="88"/>
      <c r="H140" s="89"/>
      <c r="I140" s="93"/>
      <c r="J140" s="41"/>
      <c r="K140" s="118"/>
      <c r="L140" s="121" t="s">
        <v>226</v>
      </c>
      <c r="M140" s="122"/>
      <c r="N140" s="122"/>
      <c r="O140" s="122"/>
      <c r="P140" s="122"/>
      <c r="Q140" s="88"/>
      <c r="R140" s="89"/>
      <c r="S140" s="93"/>
    </row>
    <row r="141" spans="1:19" ht="44.25" customHeight="1" x14ac:dyDescent="0.25">
      <c r="A141" s="119"/>
      <c r="B141" s="121" t="s">
        <v>227</v>
      </c>
      <c r="C141" s="122"/>
      <c r="D141" s="122"/>
      <c r="E141" s="122"/>
      <c r="F141" s="122"/>
      <c r="G141" s="88"/>
      <c r="H141" s="89"/>
      <c r="I141" s="93"/>
      <c r="J141" s="41"/>
      <c r="K141" s="119"/>
      <c r="L141" s="121" t="s">
        <v>227</v>
      </c>
      <c r="M141" s="122"/>
      <c r="N141" s="122"/>
      <c r="O141" s="122"/>
      <c r="P141" s="122"/>
      <c r="Q141" s="88"/>
      <c r="R141" s="89"/>
      <c r="S141" s="93"/>
    </row>
    <row r="142" spans="1:19" ht="45.75" customHeight="1" x14ac:dyDescent="0.25">
      <c r="A142" s="119"/>
      <c r="B142" s="121" t="s">
        <v>228</v>
      </c>
      <c r="C142" s="122"/>
      <c r="D142" s="122"/>
      <c r="E142" s="122"/>
      <c r="F142" s="122"/>
      <c r="G142" s="88"/>
      <c r="H142" s="89"/>
      <c r="I142" s="93"/>
      <c r="J142" s="42"/>
      <c r="K142" s="119"/>
      <c r="L142" s="121" t="s">
        <v>228</v>
      </c>
      <c r="M142" s="122"/>
      <c r="N142" s="122"/>
      <c r="O142" s="122"/>
      <c r="P142" s="122"/>
      <c r="Q142" s="88"/>
      <c r="R142" s="89"/>
      <c r="S142" s="93"/>
    </row>
    <row r="143" spans="1:19" ht="54" customHeight="1" thickBot="1" x14ac:dyDescent="0.3">
      <c r="A143" s="120"/>
      <c r="B143" s="123" t="s">
        <v>234</v>
      </c>
      <c r="C143" s="124"/>
      <c r="D143" s="124"/>
      <c r="E143" s="124"/>
      <c r="F143" s="124"/>
      <c r="G143" s="90"/>
      <c r="H143" s="91"/>
      <c r="I143" s="94"/>
      <c r="J143" s="43"/>
      <c r="K143" s="120"/>
      <c r="L143" s="123" t="s">
        <v>234</v>
      </c>
      <c r="M143" s="124"/>
      <c r="N143" s="124"/>
      <c r="O143" s="124"/>
      <c r="P143" s="124"/>
      <c r="Q143" s="90"/>
      <c r="R143" s="91"/>
      <c r="S143" s="94"/>
    </row>
    <row r="144" spans="1:19" ht="0.75" customHeight="1" thickBot="1" x14ac:dyDescent="0.3">
      <c r="A144" s="15"/>
      <c r="B144" s="137" t="s">
        <v>248</v>
      </c>
      <c r="C144" s="138"/>
      <c r="D144" s="138"/>
      <c r="E144" s="138"/>
      <c r="F144" s="138"/>
      <c r="G144" s="139"/>
      <c r="H144" s="140"/>
      <c r="I144" s="16"/>
      <c r="J144" s="44"/>
      <c r="K144" s="15"/>
      <c r="L144" s="137" t="s">
        <v>248</v>
      </c>
      <c r="M144" s="138"/>
      <c r="N144" s="138"/>
      <c r="O144" s="138"/>
      <c r="P144" s="138"/>
      <c r="Q144" s="139"/>
      <c r="R144" s="140"/>
      <c r="S144" s="16"/>
    </row>
    <row r="145" spans="1:19" ht="0.75" customHeight="1" thickBot="1" x14ac:dyDescent="0.3">
      <c r="A145" s="15"/>
      <c r="B145" s="137" t="s">
        <v>235</v>
      </c>
      <c r="C145" s="138"/>
      <c r="D145" s="138"/>
      <c r="E145" s="138"/>
      <c r="F145" s="138"/>
      <c r="G145" s="139"/>
      <c r="H145" s="140"/>
      <c r="I145" s="16"/>
      <c r="J145" s="40"/>
      <c r="K145" s="15"/>
      <c r="L145" s="137" t="s">
        <v>235</v>
      </c>
      <c r="M145" s="138"/>
      <c r="N145" s="138"/>
      <c r="O145" s="138"/>
      <c r="P145" s="138"/>
      <c r="Q145" s="139"/>
      <c r="R145" s="140"/>
      <c r="S145" s="16"/>
    </row>
    <row r="146" spans="1:19" ht="29.25" customHeight="1" thickBot="1" x14ac:dyDescent="0.3">
      <c r="A146" s="17"/>
      <c r="B146" s="78" t="s">
        <v>237</v>
      </c>
      <c r="C146" s="79"/>
      <c r="D146" s="79"/>
      <c r="E146" s="79"/>
      <c r="F146" s="79"/>
      <c r="G146" s="86">
        <v>2617</v>
      </c>
      <c r="H146" s="87"/>
      <c r="I146" s="108" t="s">
        <v>229</v>
      </c>
      <c r="J146" s="62"/>
      <c r="K146" s="17"/>
      <c r="L146" s="78" t="s">
        <v>237</v>
      </c>
      <c r="M146" s="79"/>
      <c r="N146" s="79"/>
      <c r="O146" s="79"/>
      <c r="P146" s="79"/>
      <c r="Q146" s="86">
        <f>5029+1946</f>
        <v>6975</v>
      </c>
      <c r="R146" s="87"/>
      <c r="S146" s="108" t="s">
        <v>229</v>
      </c>
    </row>
    <row r="147" spans="1:19" ht="15.75" customHeight="1" thickBot="1" x14ac:dyDescent="0.3">
      <c r="A147" s="18"/>
      <c r="B147" s="110" t="s">
        <v>238</v>
      </c>
      <c r="C147" s="111"/>
      <c r="D147" s="111"/>
      <c r="E147" s="111"/>
      <c r="F147" s="111"/>
      <c r="G147" s="90"/>
      <c r="H147" s="91"/>
      <c r="I147" s="109"/>
      <c r="J147" s="46"/>
      <c r="K147" s="18"/>
      <c r="L147" s="110" t="s">
        <v>238</v>
      </c>
      <c r="M147" s="111"/>
      <c r="N147" s="111"/>
      <c r="O147" s="111"/>
      <c r="P147" s="111"/>
      <c r="Q147" s="90"/>
      <c r="R147" s="91"/>
      <c r="S147" s="109"/>
    </row>
    <row r="148" spans="1:19" ht="15.75" thickBot="1" x14ac:dyDescent="0.3">
      <c r="A148" s="19"/>
      <c r="B148" s="112" t="s">
        <v>239</v>
      </c>
      <c r="C148" s="113"/>
      <c r="D148" s="113"/>
      <c r="E148" s="113"/>
      <c r="F148" s="113"/>
      <c r="G148" s="114">
        <f>SUM(G127:H147)</f>
        <v>87990.532000000007</v>
      </c>
      <c r="H148" s="115"/>
      <c r="I148" s="20"/>
      <c r="J148" s="47"/>
      <c r="K148" s="19"/>
      <c r="L148" s="112" t="s">
        <v>239</v>
      </c>
      <c r="M148" s="113"/>
      <c r="N148" s="113"/>
      <c r="O148" s="113"/>
      <c r="P148" s="113"/>
      <c r="Q148" s="114">
        <f>SUM(Q127:R147)</f>
        <v>118011.2904</v>
      </c>
      <c r="R148" s="115"/>
      <c r="S148" s="20"/>
    </row>
    <row r="149" spans="1:19" ht="25.5" customHeight="1" thickBot="1" x14ac:dyDescent="0.3">
      <c r="A149" s="21"/>
      <c r="B149" s="101" t="s">
        <v>240</v>
      </c>
      <c r="C149" s="102"/>
      <c r="D149" s="102"/>
      <c r="E149" s="102"/>
      <c r="F149" s="102"/>
      <c r="G149" s="116">
        <f>G148*1.2</f>
        <v>105588.63840000001</v>
      </c>
      <c r="H149" s="117"/>
      <c r="I149" s="22"/>
      <c r="J149" s="47"/>
      <c r="K149" s="21"/>
      <c r="L149" s="101" t="s">
        <v>240</v>
      </c>
      <c r="M149" s="102"/>
      <c r="N149" s="102"/>
      <c r="O149" s="102"/>
      <c r="P149" s="102"/>
      <c r="Q149" s="116">
        <f>Q148*1.2</f>
        <v>141613.54848</v>
      </c>
      <c r="R149" s="117"/>
      <c r="S149" s="22"/>
    </row>
    <row r="150" spans="1:19" ht="25.5" customHeight="1" thickBot="1" x14ac:dyDescent="0.3">
      <c r="A150" s="24"/>
      <c r="B150" s="96" t="s">
        <v>443</v>
      </c>
      <c r="C150" s="97"/>
      <c r="D150" s="97"/>
      <c r="E150" s="97"/>
      <c r="F150" s="97"/>
      <c r="G150" s="311">
        <v>106794.99</v>
      </c>
      <c r="H150" s="312"/>
      <c r="I150" s="313"/>
      <c r="J150" s="47"/>
      <c r="K150" s="24"/>
      <c r="L150" s="96" t="s">
        <v>443</v>
      </c>
      <c r="M150" s="97"/>
      <c r="N150" s="97"/>
      <c r="O150" s="97"/>
      <c r="P150" s="97"/>
      <c r="Q150" s="311">
        <v>146077.22</v>
      </c>
      <c r="R150" s="312"/>
      <c r="S150" s="313"/>
    </row>
    <row r="151" spans="1:19" ht="25.5" customHeight="1" thickBot="1" x14ac:dyDescent="0.3">
      <c r="A151" s="25"/>
      <c r="B151" s="101" t="s">
        <v>242</v>
      </c>
      <c r="C151" s="102"/>
      <c r="D151" s="102"/>
      <c r="E151" s="102"/>
      <c r="F151" s="102"/>
      <c r="G151" s="343">
        <v>103106.9</v>
      </c>
      <c r="H151" s="344"/>
      <c r="I151" s="345"/>
      <c r="J151" s="48"/>
      <c r="K151" s="25"/>
      <c r="L151" s="101" t="s">
        <v>242</v>
      </c>
      <c r="M151" s="102"/>
      <c r="N151" s="102"/>
      <c r="O151" s="102"/>
      <c r="P151" s="102"/>
      <c r="Q151" s="355">
        <v>142997</v>
      </c>
      <c r="R151" s="356"/>
      <c r="S151" s="357"/>
    </row>
    <row r="152" spans="1:19" s="69" customFormat="1" ht="25.5" customHeight="1" thickBot="1" x14ac:dyDescent="0.3">
      <c r="A152" s="19"/>
      <c r="B152" s="106" t="s">
        <v>444</v>
      </c>
      <c r="C152" s="107"/>
      <c r="D152" s="107"/>
      <c r="E152" s="107"/>
      <c r="F152" s="107"/>
      <c r="G152" s="307">
        <v>5062.3599999999997</v>
      </c>
      <c r="H152" s="308"/>
      <c r="I152" s="309"/>
      <c r="J152" s="68"/>
      <c r="K152" s="19"/>
      <c r="L152" s="106" t="s">
        <v>444</v>
      </c>
      <c r="M152" s="107"/>
      <c r="N152" s="107"/>
      <c r="O152" s="107"/>
      <c r="P152" s="107"/>
      <c r="Q152" s="333">
        <v>11630</v>
      </c>
      <c r="R152" s="334"/>
      <c r="S152" s="335"/>
    </row>
    <row r="153" spans="1:19" x14ac:dyDescent="0.25">
      <c r="A153" s="4"/>
      <c r="B153" s="26"/>
      <c r="C153" s="26"/>
      <c r="D153" s="26"/>
      <c r="E153" s="26"/>
      <c r="F153" s="26"/>
      <c r="G153" s="27"/>
      <c r="H153" s="3"/>
      <c r="I153" s="3"/>
      <c r="K153" s="4"/>
      <c r="L153" s="351"/>
      <c r="M153" s="351"/>
      <c r="N153" s="351"/>
      <c r="O153" s="351"/>
      <c r="P153" s="351"/>
      <c r="Q153" s="351"/>
      <c r="R153" s="351"/>
      <c r="S153" s="351"/>
    </row>
    <row r="154" spans="1:19" x14ac:dyDescent="0.25">
      <c r="E154" s="50"/>
      <c r="I154" s="5"/>
      <c r="O154" s="50"/>
      <c r="S154" s="5"/>
    </row>
    <row r="155" spans="1:19" x14ac:dyDescent="0.25">
      <c r="A155" s="3"/>
      <c r="I155" s="5"/>
      <c r="K155" s="3"/>
      <c r="S155" s="5"/>
    </row>
    <row r="156" spans="1:19" ht="15.75" x14ac:dyDescent="0.25">
      <c r="A156" s="30"/>
      <c r="K156" s="30"/>
    </row>
    <row r="157" spans="1:19" ht="15.75" x14ac:dyDescent="0.25">
      <c r="A157" s="30"/>
      <c r="K157" s="30"/>
    </row>
    <row r="158" spans="1:19" x14ac:dyDescent="0.25">
      <c r="A158" s="3"/>
      <c r="B158" s="3"/>
      <c r="C158" s="3"/>
      <c r="D158" s="3"/>
      <c r="E158" s="4" t="s">
        <v>204</v>
      </c>
      <c r="F158" s="3"/>
      <c r="G158" s="3"/>
      <c r="H158" s="3"/>
      <c r="I158" s="3"/>
      <c r="K158" s="3"/>
      <c r="L158" s="3"/>
      <c r="M158" s="3"/>
      <c r="N158" s="3"/>
      <c r="O158" s="4" t="s">
        <v>204</v>
      </c>
      <c r="P158" s="3"/>
      <c r="Q158" s="3"/>
      <c r="R158" s="3"/>
      <c r="S158" s="3"/>
    </row>
    <row r="159" spans="1:19" ht="15.75" customHeight="1" x14ac:dyDescent="0.25">
      <c r="A159" s="3" t="s">
        <v>205</v>
      </c>
      <c r="B159" s="3"/>
      <c r="C159" s="3"/>
      <c r="D159" s="3" t="s">
        <v>383</v>
      </c>
      <c r="E159" s="3"/>
      <c r="F159" s="3"/>
      <c r="G159" s="3"/>
      <c r="H159" s="3"/>
      <c r="I159" s="3"/>
      <c r="K159" s="3" t="s">
        <v>205</v>
      </c>
      <c r="L159" s="3"/>
      <c r="M159" s="3"/>
      <c r="N159" s="3" t="s">
        <v>384</v>
      </c>
      <c r="O159" s="3"/>
      <c r="P159" s="3"/>
      <c r="Q159" s="3"/>
      <c r="R159" s="3"/>
      <c r="S159" s="3"/>
    </row>
    <row r="160" spans="1:19" ht="19.5" customHeight="1" x14ac:dyDescent="0.25">
      <c r="A160" s="3"/>
      <c r="B160" s="5" t="s">
        <v>440</v>
      </c>
      <c r="C160" s="3"/>
      <c r="D160" s="3"/>
      <c r="E160" s="3"/>
      <c r="F160" s="3"/>
      <c r="G160" s="3"/>
      <c r="H160" s="3"/>
      <c r="I160" s="3"/>
      <c r="K160" s="3"/>
      <c r="L160" s="5" t="s">
        <v>440</v>
      </c>
      <c r="M160" s="3"/>
      <c r="N160" s="3"/>
      <c r="O160" s="3"/>
      <c r="P160" s="3"/>
      <c r="Q160" s="3"/>
      <c r="R160" s="3"/>
      <c r="S160" s="3"/>
    </row>
    <row r="161" spans="1:19" ht="19.5" customHeight="1" thickBot="1" x14ac:dyDescent="0.3">
      <c r="A161" s="3"/>
      <c r="B161" s="5" t="s">
        <v>206</v>
      </c>
      <c r="C161" s="3"/>
      <c r="D161" s="3"/>
      <c r="E161" s="3"/>
      <c r="F161" s="3">
        <v>11905</v>
      </c>
      <c r="G161" s="3" t="s">
        <v>207</v>
      </c>
      <c r="H161" s="3"/>
      <c r="I161" s="3"/>
      <c r="J161" s="3"/>
      <c r="K161" s="3"/>
      <c r="L161" s="5" t="s">
        <v>206</v>
      </c>
      <c r="M161" s="3"/>
      <c r="N161" s="3"/>
      <c r="O161" s="3"/>
      <c r="P161" s="3">
        <v>1247.0999999999999</v>
      </c>
      <c r="Q161" s="3" t="s">
        <v>207</v>
      </c>
      <c r="R161" s="3"/>
      <c r="S161" s="3"/>
    </row>
    <row r="162" spans="1:19" ht="14.25" customHeight="1" thickBot="1" x14ac:dyDescent="0.3">
      <c r="A162" s="175" t="s">
        <v>209</v>
      </c>
      <c r="B162" s="177" t="s">
        <v>210</v>
      </c>
      <c r="C162" s="178"/>
      <c r="D162" s="178"/>
      <c r="E162" s="178"/>
      <c r="F162" s="178"/>
      <c r="G162" s="180" t="s">
        <v>442</v>
      </c>
      <c r="H162" s="181"/>
      <c r="I162" s="175" t="s">
        <v>212</v>
      </c>
      <c r="J162" s="3"/>
      <c r="K162" s="175" t="s">
        <v>209</v>
      </c>
      <c r="L162" s="177" t="s">
        <v>210</v>
      </c>
      <c r="M162" s="178"/>
      <c r="N162" s="178"/>
      <c r="O162" s="178"/>
      <c r="P162" s="178"/>
      <c r="Q162" s="180" t="s">
        <v>442</v>
      </c>
      <c r="R162" s="181"/>
      <c r="S162" s="175" t="s">
        <v>212</v>
      </c>
    </row>
    <row r="163" spans="1:19" ht="68.25" customHeight="1" thickBot="1" x14ac:dyDescent="0.3">
      <c r="A163" s="176"/>
      <c r="B163" s="179"/>
      <c r="C163" s="179"/>
      <c r="D163" s="179"/>
      <c r="E163" s="179"/>
      <c r="F163" s="179"/>
      <c r="G163" s="182"/>
      <c r="H163" s="183"/>
      <c r="I163" s="184"/>
      <c r="J163" s="31"/>
      <c r="K163" s="176"/>
      <c r="L163" s="179"/>
      <c r="M163" s="179"/>
      <c r="N163" s="179"/>
      <c r="O163" s="179"/>
      <c r="P163" s="179"/>
      <c r="Q163" s="182"/>
      <c r="R163" s="183"/>
      <c r="S163" s="184"/>
    </row>
    <row r="164" spans="1:19" ht="13.5" customHeight="1" thickBot="1" x14ac:dyDescent="0.3">
      <c r="A164" s="185" t="s">
        <v>213</v>
      </c>
      <c r="B164" s="187" t="s">
        <v>354</v>
      </c>
      <c r="C164" s="188"/>
      <c r="D164" s="188"/>
      <c r="E164" s="188"/>
      <c r="F164" s="188"/>
      <c r="G164" s="190">
        <v>190406.88</v>
      </c>
      <c r="H164" s="191"/>
      <c r="I164" s="192"/>
      <c r="J164" s="32"/>
      <c r="K164" s="185" t="s">
        <v>213</v>
      </c>
      <c r="L164" s="187" t="s">
        <v>354</v>
      </c>
      <c r="M164" s="188"/>
      <c r="N164" s="188"/>
      <c r="O164" s="188"/>
      <c r="P164" s="188"/>
      <c r="Q164" s="190">
        <v>14564.38</v>
      </c>
      <c r="R164" s="191"/>
      <c r="S164" s="192"/>
    </row>
    <row r="165" spans="1:19" ht="13.5" customHeight="1" thickBot="1" x14ac:dyDescent="0.3">
      <c r="A165" s="186"/>
      <c r="B165" s="189"/>
      <c r="C165" s="189"/>
      <c r="D165" s="189"/>
      <c r="E165" s="189"/>
      <c r="F165" s="189"/>
      <c r="G165" s="193"/>
      <c r="H165" s="194"/>
      <c r="I165" s="128"/>
      <c r="J165" s="33"/>
      <c r="K165" s="186"/>
      <c r="L165" s="189"/>
      <c r="M165" s="189"/>
      <c r="N165" s="189"/>
      <c r="O165" s="189"/>
      <c r="P165" s="189"/>
      <c r="Q165" s="193"/>
      <c r="R165" s="194"/>
      <c r="S165" s="128"/>
    </row>
    <row r="166" spans="1:19" ht="13.5" customHeight="1" x14ac:dyDescent="0.25">
      <c r="A166" s="6"/>
      <c r="B166" s="161" t="s">
        <v>214</v>
      </c>
      <c r="C166" s="162"/>
      <c r="D166" s="162"/>
      <c r="E166" s="162"/>
      <c r="F166" s="162"/>
      <c r="G166" s="163">
        <f>1.22*12*F161</f>
        <v>174289.2</v>
      </c>
      <c r="H166" s="164"/>
      <c r="I166" s="169" t="s">
        <v>215</v>
      </c>
      <c r="J166" s="36"/>
      <c r="K166" s="6"/>
      <c r="L166" s="161" t="s">
        <v>214</v>
      </c>
      <c r="M166" s="162"/>
      <c r="N166" s="162"/>
      <c r="O166" s="162"/>
      <c r="P166" s="162"/>
      <c r="Q166" s="163">
        <f>1.29*12*P161</f>
        <v>19305.108</v>
      </c>
      <c r="R166" s="164"/>
      <c r="S166" s="169" t="s">
        <v>215</v>
      </c>
    </row>
    <row r="167" spans="1:19" ht="28.5" customHeight="1" thickBot="1" x14ac:dyDescent="0.3">
      <c r="A167" s="7"/>
      <c r="B167" s="171" t="s">
        <v>216</v>
      </c>
      <c r="C167" s="172"/>
      <c r="D167" s="172"/>
      <c r="E167" s="172"/>
      <c r="F167" s="172"/>
      <c r="G167" s="165"/>
      <c r="H167" s="166"/>
      <c r="I167" s="170"/>
      <c r="J167" s="35"/>
      <c r="K167" s="7"/>
      <c r="L167" s="171" t="s">
        <v>216</v>
      </c>
      <c r="M167" s="172"/>
      <c r="N167" s="172"/>
      <c r="O167" s="172"/>
      <c r="P167" s="172"/>
      <c r="Q167" s="165"/>
      <c r="R167" s="166"/>
      <c r="S167" s="170"/>
    </row>
    <row r="168" spans="1:19" ht="13.5" customHeight="1" thickBot="1" x14ac:dyDescent="0.3">
      <c r="A168" s="7"/>
      <c r="B168" s="173" t="s">
        <v>217</v>
      </c>
      <c r="C168" s="174"/>
      <c r="D168" s="174"/>
      <c r="E168" s="174"/>
      <c r="F168" s="174"/>
      <c r="G168" s="167"/>
      <c r="H168" s="168"/>
      <c r="I168" s="8" t="s">
        <v>218</v>
      </c>
      <c r="J168" s="36"/>
      <c r="K168" s="7"/>
      <c r="L168" s="173" t="s">
        <v>217</v>
      </c>
      <c r="M168" s="174"/>
      <c r="N168" s="174"/>
      <c r="O168" s="174"/>
      <c r="P168" s="174"/>
      <c r="Q168" s="167"/>
      <c r="R168" s="168"/>
      <c r="S168" s="8" t="s">
        <v>218</v>
      </c>
    </row>
    <row r="169" spans="1:19" ht="13.5" customHeight="1" thickBot="1" x14ac:dyDescent="0.3">
      <c r="A169" s="7"/>
      <c r="B169" s="141" t="s">
        <v>219</v>
      </c>
      <c r="C169" s="142"/>
      <c r="D169" s="142"/>
      <c r="E169" s="142"/>
      <c r="F169" s="142"/>
      <c r="G169" s="143">
        <f>1748.85*6*12</f>
        <v>125917.19999999998</v>
      </c>
      <c r="H169" s="144"/>
      <c r="I169" s="8" t="s">
        <v>220</v>
      </c>
      <c r="J169" s="36"/>
      <c r="K169" s="7"/>
      <c r="L169" s="141" t="s">
        <v>219</v>
      </c>
      <c r="M169" s="142"/>
      <c r="N169" s="142"/>
      <c r="O169" s="142"/>
      <c r="P169" s="142"/>
      <c r="Q169" s="143">
        <v>0</v>
      </c>
      <c r="R169" s="144"/>
      <c r="S169" s="8" t="s">
        <v>220</v>
      </c>
    </row>
    <row r="170" spans="1:19" ht="13.5" customHeight="1" thickBot="1" x14ac:dyDescent="0.3">
      <c r="A170" s="7"/>
      <c r="B170" s="141" t="s">
        <v>221</v>
      </c>
      <c r="C170" s="142"/>
      <c r="D170" s="142"/>
      <c r="E170" s="142"/>
      <c r="F170" s="142"/>
      <c r="G170" s="143">
        <f>0.3*12*F161</f>
        <v>42857.999999999993</v>
      </c>
      <c r="H170" s="144"/>
      <c r="I170" s="8" t="s">
        <v>222</v>
      </c>
      <c r="J170" s="37"/>
      <c r="K170" s="7"/>
      <c r="L170" s="141" t="s">
        <v>221</v>
      </c>
      <c r="M170" s="142"/>
      <c r="N170" s="142"/>
      <c r="O170" s="142"/>
      <c r="P170" s="142"/>
      <c r="Q170" s="143">
        <f>0.3*12*P161</f>
        <v>4489.5599999999995</v>
      </c>
      <c r="R170" s="144"/>
      <c r="S170" s="8" t="s">
        <v>222</v>
      </c>
    </row>
    <row r="171" spans="1:19" ht="13.5" customHeight="1" x14ac:dyDescent="0.25">
      <c r="A171" s="9"/>
      <c r="B171" s="145" t="s">
        <v>223</v>
      </c>
      <c r="C171" s="146"/>
      <c r="D171" s="146"/>
      <c r="E171" s="146"/>
      <c r="F171" s="146"/>
      <c r="G171" s="86">
        <f>1.6*12*F161</f>
        <v>228576.00000000003</v>
      </c>
      <c r="H171" s="147"/>
      <c r="I171" s="152" t="s">
        <v>224</v>
      </c>
      <c r="J171" s="38"/>
      <c r="K171" s="9"/>
      <c r="L171" s="145" t="s">
        <v>223</v>
      </c>
      <c r="M171" s="146"/>
      <c r="N171" s="146"/>
      <c r="O171" s="146"/>
      <c r="P171" s="146"/>
      <c r="Q171" s="86">
        <f>1.89*12*P161</f>
        <v>28284.227999999999</v>
      </c>
      <c r="R171" s="147"/>
      <c r="S171" s="152" t="s">
        <v>224</v>
      </c>
    </row>
    <row r="172" spans="1:19" ht="13.5" customHeight="1" x14ac:dyDescent="0.25">
      <c r="A172" s="10"/>
      <c r="B172" s="155" t="s">
        <v>226</v>
      </c>
      <c r="C172" s="156"/>
      <c r="D172" s="156"/>
      <c r="E172" s="156"/>
      <c r="F172" s="156"/>
      <c r="G172" s="148"/>
      <c r="H172" s="149"/>
      <c r="I172" s="153"/>
      <c r="J172" s="38"/>
      <c r="K172" s="10"/>
      <c r="L172" s="155" t="s">
        <v>226</v>
      </c>
      <c r="M172" s="156"/>
      <c r="N172" s="156"/>
      <c r="O172" s="156"/>
      <c r="P172" s="156"/>
      <c r="Q172" s="148"/>
      <c r="R172" s="149"/>
      <c r="S172" s="153"/>
    </row>
    <row r="173" spans="1:19" ht="13.5" customHeight="1" thickBot="1" x14ac:dyDescent="0.3">
      <c r="A173" s="10"/>
      <c r="B173" s="157" t="s">
        <v>227</v>
      </c>
      <c r="C173" s="158"/>
      <c r="D173" s="158"/>
      <c r="E173" s="158"/>
      <c r="F173" s="158"/>
      <c r="G173" s="148"/>
      <c r="H173" s="149"/>
      <c r="I173" s="154"/>
      <c r="J173" s="39"/>
      <c r="K173" s="10"/>
      <c r="L173" s="157" t="s">
        <v>227</v>
      </c>
      <c r="M173" s="158"/>
      <c r="N173" s="158"/>
      <c r="O173" s="158"/>
      <c r="P173" s="158"/>
      <c r="Q173" s="148"/>
      <c r="R173" s="149"/>
      <c r="S173" s="154"/>
    </row>
    <row r="174" spans="1:19" ht="15.75" customHeight="1" thickBot="1" x14ac:dyDescent="0.3">
      <c r="A174" s="10"/>
      <c r="B174" s="159" t="s">
        <v>228</v>
      </c>
      <c r="C174" s="160"/>
      <c r="D174" s="160"/>
      <c r="E174" s="160"/>
      <c r="F174" s="160"/>
      <c r="G174" s="150"/>
      <c r="H174" s="151"/>
      <c r="I174" s="11" t="s">
        <v>229</v>
      </c>
      <c r="J174" s="36"/>
      <c r="K174" s="10"/>
      <c r="L174" s="159" t="s">
        <v>228</v>
      </c>
      <c r="M174" s="160"/>
      <c r="N174" s="160"/>
      <c r="O174" s="160"/>
      <c r="P174" s="160"/>
      <c r="Q174" s="150"/>
      <c r="R174" s="151"/>
      <c r="S174" s="11" t="s">
        <v>229</v>
      </c>
    </row>
    <row r="175" spans="1:19" ht="15.75" customHeight="1" x14ac:dyDescent="0.25">
      <c r="A175" s="12"/>
      <c r="B175" s="125" t="s">
        <v>230</v>
      </c>
      <c r="C175" s="126"/>
      <c r="D175" s="126"/>
      <c r="E175" s="126"/>
      <c r="F175" s="126"/>
      <c r="G175" s="86">
        <f>0.048*12*F161</f>
        <v>6857.2800000000007</v>
      </c>
      <c r="H175" s="87"/>
      <c r="I175" s="129" t="s">
        <v>220</v>
      </c>
      <c r="J175" s="36"/>
      <c r="K175" s="12"/>
      <c r="L175" s="125" t="s">
        <v>230</v>
      </c>
      <c r="M175" s="126"/>
      <c r="N175" s="126"/>
      <c r="O175" s="126"/>
      <c r="P175" s="126"/>
      <c r="Q175" s="86">
        <f>0.02*12*P161</f>
        <v>299.30399999999997</v>
      </c>
      <c r="R175" s="87"/>
      <c r="S175" s="129" t="s">
        <v>220</v>
      </c>
    </row>
    <row r="176" spans="1:19" ht="15.75" customHeight="1" thickBot="1" x14ac:dyDescent="0.3">
      <c r="A176" s="7"/>
      <c r="B176" s="131" t="s">
        <v>231</v>
      </c>
      <c r="C176" s="132"/>
      <c r="D176" s="132"/>
      <c r="E176" s="132"/>
      <c r="F176" s="132"/>
      <c r="G176" s="127"/>
      <c r="H176" s="128"/>
      <c r="I176" s="130"/>
      <c r="J176" s="36"/>
      <c r="K176" s="7"/>
      <c r="L176" s="131" t="s">
        <v>231</v>
      </c>
      <c r="M176" s="132"/>
      <c r="N176" s="132"/>
      <c r="O176" s="132"/>
      <c r="P176" s="132"/>
      <c r="Q176" s="127"/>
      <c r="R176" s="128"/>
      <c r="S176" s="130"/>
    </row>
    <row r="177" spans="1:19" ht="15.75" thickBot="1" x14ac:dyDescent="0.3">
      <c r="A177" s="13"/>
      <c r="B177" s="133" t="s">
        <v>232</v>
      </c>
      <c r="C177" s="134"/>
      <c r="D177" s="134"/>
      <c r="E177" s="134"/>
      <c r="F177" s="134"/>
      <c r="G177" s="135"/>
      <c r="H177" s="136"/>
      <c r="I177" s="14"/>
      <c r="J177" s="36"/>
      <c r="K177" s="13"/>
      <c r="L177" s="133" t="s">
        <v>232</v>
      </c>
      <c r="M177" s="134"/>
      <c r="N177" s="134"/>
      <c r="O177" s="134"/>
      <c r="P177" s="134"/>
      <c r="Q177" s="135"/>
      <c r="R177" s="136"/>
      <c r="S177" s="14"/>
    </row>
    <row r="178" spans="1:19" ht="42" customHeight="1" thickBot="1" x14ac:dyDescent="0.3">
      <c r="A178" s="13"/>
      <c r="B178" s="84" t="s">
        <v>233</v>
      </c>
      <c r="C178" s="85"/>
      <c r="D178" s="85"/>
      <c r="E178" s="85"/>
      <c r="F178" s="85"/>
      <c r="G178" s="86">
        <f>0.8*12*F161</f>
        <v>114288.00000000001</v>
      </c>
      <c r="H178" s="87"/>
      <c r="I178" s="92" t="s">
        <v>611</v>
      </c>
      <c r="J178" s="41"/>
      <c r="K178" s="13"/>
      <c r="L178" s="84" t="s">
        <v>233</v>
      </c>
      <c r="M178" s="85"/>
      <c r="N178" s="85"/>
      <c r="O178" s="85"/>
      <c r="P178" s="85"/>
      <c r="Q178" s="86">
        <f>1.09*12*P161</f>
        <v>16312.068000000001</v>
      </c>
      <c r="R178" s="87"/>
      <c r="S178" s="92" t="s">
        <v>619</v>
      </c>
    </row>
    <row r="179" spans="1:19" ht="46.5" customHeight="1" x14ac:dyDescent="0.25">
      <c r="A179" s="118"/>
      <c r="B179" s="121" t="s">
        <v>226</v>
      </c>
      <c r="C179" s="122"/>
      <c r="D179" s="122"/>
      <c r="E179" s="122"/>
      <c r="F179" s="122"/>
      <c r="G179" s="88"/>
      <c r="H179" s="89"/>
      <c r="I179" s="93"/>
      <c r="J179" s="41"/>
      <c r="K179" s="118"/>
      <c r="L179" s="121" t="s">
        <v>226</v>
      </c>
      <c r="M179" s="122"/>
      <c r="N179" s="122"/>
      <c r="O179" s="122"/>
      <c r="P179" s="122"/>
      <c r="Q179" s="88"/>
      <c r="R179" s="89"/>
      <c r="S179" s="93"/>
    </row>
    <row r="180" spans="1:19" ht="39" customHeight="1" x14ac:dyDescent="0.25">
      <c r="A180" s="119"/>
      <c r="B180" s="121" t="s">
        <v>227</v>
      </c>
      <c r="C180" s="122"/>
      <c r="D180" s="122"/>
      <c r="E180" s="122"/>
      <c r="F180" s="122"/>
      <c r="G180" s="88"/>
      <c r="H180" s="89"/>
      <c r="I180" s="93"/>
      <c r="J180" s="41"/>
      <c r="K180" s="119"/>
      <c r="L180" s="121" t="s">
        <v>227</v>
      </c>
      <c r="M180" s="122"/>
      <c r="N180" s="122"/>
      <c r="O180" s="122"/>
      <c r="P180" s="122"/>
      <c r="Q180" s="88"/>
      <c r="R180" s="89"/>
      <c r="S180" s="93"/>
    </row>
    <row r="181" spans="1:19" ht="46.5" customHeight="1" x14ac:dyDescent="0.25">
      <c r="A181" s="119"/>
      <c r="B181" s="121" t="s">
        <v>228</v>
      </c>
      <c r="C181" s="122"/>
      <c r="D181" s="122"/>
      <c r="E181" s="122"/>
      <c r="F181" s="122"/>
      <c r="G181" s="88"/>
      <c r="H181" s="89"/>
      <c r="I181" s="93"/>
      <c r="J181" s="41"/>
      <c r="K181" s="119"/>
      <c r="L181" s="121" t="s">
        <v>228</v>
      </c>
      <c r="M181" s="122"/>
      <c r="N181" s="122"/>
      <c r="O181" s="122"/>
      <c r="P181" s="122"/>
      <c r="Q181" s="88"/>
      <c r="R181" s="89"/>
      <c r="S181" s="93"/>
    </row>
    <row r="182" spans="1:19" ht="81.75" customHeight="1" thickBot="1" x14ac:dyDescent="0.3">
      <c r="A182" s="120"/>
      <c r="B182" s="123" t="s">
        <v>234</v>
      </c>
      <c r="C182" s="124"/>
      <c r="D182" s="124"/>
      <c r="E182" s="124"/>
      <c r="F182" s="124"/>
      <c r="G182" s="90"/>
      <c r="H182" s="91"/>
      <c r="I182" s="94"/>
      <c r="J182" s="42"/>
      <c r="K182" s="120"/>
      <c r="L182" s="123" t="s">
        <v>234</v>
      </c>
      <c r="M182" s="124"/>
      <c r="N182" s="124"/>
      <c r="O182" s="124"/>
      <c r="P182" s="124"/>
      <c r="Q182" s="90"/>
      <c r="R182" s="91"/>
      <c r="S182" s="94"/>
    </row>
    <row r="183" spans="1:19" ht="0.75" customHeight="1" thickBot="1" x14ac:dyDescent="0.3">
      <c r="A183" s="15"/>
      <c r="B183" s="137" t="s">
        <v>248</v>
      </c>
      <c r="C183" s="138"/>
      <c r="D183" s="138"/>
      <c r="E183" s="138"/>
      <c r="F183" s="138"/>
      <c r="G183" s="139"/>
      <c r="H183" s="140"/>
      <c r="I183" s="16"/>
      <c r="J183" s="43"/>
      <c r="K183" s="15"/>
      <c r="L183" s="137" t="s">
        <v>248</v>
      </c>
      <c r="M183" s="138"/>
      <c r="N183" s="138"/>
      <c r="O183" s="138"/>
      <c r="P183" s="138"/>
      <c r="Q183" s="139"/>
      <c r="R183" s="140"/>
      <c r="S183" s="16"/>
    </row>
    <row r="184" spans="1:19" ht="0.75" customHeight="1" thickBot="1" x14ac:dyDescent="0.3">
      <c r="A184" s="15"/>
      <c r="B184" s="137" t="s">
        <v>235</v>
      </c>
      <c r="C184" s="138"/>
      <c r="D184" s="138"/>
      <c r="E184" s="138"/>
      <c r="F184" s="138"/>
      <c r="G184" s="139"/>
      <c r="H184" s="140"/>
      <c r="I184" s="16"/>
      <c r="J184" s="44"/>
      <c r="K184" s="15"/>
      <c r="L184" s="137" t="s">
        <v>235</v>
      </c>
      <c r="M184" s="138"/>
      <c r="N184" s="138"/>
      <c r="O184" s="138"/>
      <c r="P184" s="138"/>
      <c r="Q184" s="139"/>
      <c r="R184" s="140"/>
      <c r="S184" s="16"/>
    </row>
    <row r="185" spans="1:19" ht="15.75" customHeight="1" thickBot="1" x14ac:dyDescent="0.3">
      <c r="A185" s="17"/>
      <c r="B185" s="78" t="s">
        <v>237</v>
      </c>
      <c r="C185" s="79"/>
      <c r="D185" s="79"/>
      <c r="E185" s="79"/>
      <c r="F185" s="79"/>
      <c r="G185" s="86">
        <f>52792+14608</f>
        <v>67400</v>
      </c>
      <c r="H185" s="87"/>
      <c r="I185" s="108" t="s">
        <v>229</v>
      </c>
      <c r="J185" s="40"/>
      <c r="K185" s="17"/>
      <c r="L185" s="78" t="s">
        <v>237</v>
      </c>
      <c r="M185" s="79"/>
      <c r="N185" s="79"/>
      <c r="O185" s="79"/>
      <c r="P185" s="79"/>
      <c r="Q185" s="86">
        <v>7955</v>
      </c>
      <c r="R185" s="87"/>
      <c r="S185" s="108" t="s">
        <v>229</v>
      </c>
    </row>
    <row r="186" spans="1:19" ht="15.75" customHeight="1" thickBot="1" x14ac:dyDescent="0.3">
      <c r="A186" s="18"/>
      <c r="B186" s="110" t="s">
        <v>238</v>
      </c>
      <c r="C186" s="111"/>
      <c r="D186" s="111"/>
      <c r="E186" s="111"/>
      <c r="F186" s="111"/>
      <c r="G186" s="90"/>
      <c r="H186" s="91"/>
      <c r="I186" s="109"/>
      <c r="J186" s="45"/>
      <c r="K186" s="18"/>
      <c r="L186" s="110" t="s">
        <v>238</v>
      </c>
      <c r="M186" s="111"/>
      <c r="N186" s="111"/>
      <c r="O186" s="111"/>
      <c r="P186" s="111"/>
      <c r="Q186" s="90"/>
      <c r="R186" s="91"/>
      <c r="S186" s="109"/>
    </row>
    <row r="187" spans="1:19" ht="15.75" customHeight="1" thickBot="1" x14ac:dyDescent="0.3">
      <c r="A187" s="19"/>
      <c r="B187" s="112" t="s">
        <v>239</v>
      </c>
      <c r="C187" s="113"/>
      <c r="D187" s="113"/>
      <c r="E187" s="113"/>
      <c r="F187" s="113"/>
      <c r="G187" s="114">
        <f>SUM(G166:H186)</f>
        <v>760185.68</v>
      </c>
      <c r="H187" s="115"/>
      <c r="I187" s="20"/>
      <c r="J187" s="46"/>
      <c r="K187" s="19"/>
      <c r="L187" s="112" t="s">
        <v>239</v>
      </c>
      <c r="M187" s="113"/>
      <c r="N187" s="113"/>
      <c r="O187" s="113"/>
      <c r="P187" s="113"/>
      <c r="Q187" s="114">
        <f>SUM(Q166:R186)</f>
        <v>76645.267999999996</v>
      </c>
      <c r="R187" s="115"/>
      <c r="S187" s="20"/>
    </row>
    <row r="188" spans="1:19" ht="24" customHeight="1" thickBot="1" x14ac:dyDescent="0.3">
      <c r="A188" s="21"/>
      <c r="B188" s="101" t="s">
        <v>240</v>
      </c>
      <c r="C188" s="102"/>
      <c r="D188" s="102"/>
      <c r="E188" s="102"/>
      <c r="F188" s="102"/>
      <c r="G188" s="116">
        <f>G187*1.2</f>
        <v>912222.81599999999</v>
      </c>
      <c r="H188" s="117"/>
      <c r="I188" s="22"/>
      <c r="J188" s="47"/>
      <c r="K188" s="21"/>
      <c r="L188" s="101" t="s">
        <v>240</v>
      </c>
      <c r="M188" s="102"/>
      <c r="N188" s="102"/>
      <c r="O188" s="102"/>
      <c r="P188" s="102"/>
      <c r="Q188" s="116">
        <f>Q187*1.2</f>
        <v>91974.321599999996</v>
      </c>
      <c r="R188" s="117"/>
      <c r="S188" s="22"/>
    </row>
    <row r="189" spans="1:19" ht="24" customHeight="1" thickBot="1" x14ac:dyDescent="0.3">
      <c r="A189" s="24"/>
      <c r="B189" s="96" t="s">
        <v>443</v>
      </c>
      <c r="C189" s="97"/>
      <c r="D189" s="97"/>
      <c r="E189" s="97"/>
      <c r="F189" s="97"/>
      <c r="G189" s="311">
        <v>909629.17</v>
      </c>
      <c r="H189" s="312"/>
      <c r="I189" s="313"/>
      <c r="J189" s="47"/>
      <c r="K189" s="24"/>
      <c r="L189" s="96" t="s">
        <v>443</v>
      </c>
      <c r="M189" s="97"/>
      <c r="N189" s="97"/>
      <c r="O189" s="97"/>
      <c r="P189" s="97"/>
      <c r="Q189" s="311">
        <v>92001.600000000006</v>
      </c>
      <c r="R189" s="312"/>
      <c r="S189" s="313"/>
    </row>
    <row r="190" spans="1:19" ht="24" customHeight="1" thickBot="1" x14ac:dyDescent="0.3">
      <c r="A190" s="25"/>
      <c r="B190" s="101" t="s">
        <v>242</v>
      </c>
      <c r="C190" s="102"/>
      <c r="D190" s="102"/>
      <c r="E190" s="102"/>
      <c r="F190" s="102"/>
      <c r="G190" s="343">
        <v>954351.19</v>
      </c>
      <c r="H190" s="344"/>
      <c r="I190" s="345"/>
      <c r="J190" s="47"/>
      <c r="K190" s="25"/>
      <c r="L190" s="101" t="s">
        <v>242</v>
      </c>
      <c r="M190" s="102"/>
      <c r="N190" s="102"/>
      <c r="O190" s="102"/>
      <c r="P190" s="102"/>
      <c r="Q190" s="343">
        <v>92173.22</v>
      </c>
      <c r="R190" s="344"/>
      <c r="S190" s="345"/>
    </row>
    <row r="191" spans="1:19" s="69" customFormat="1" ht="24" customHeight="1" thickBot="1" x14ac:dyDescent="0.3">
      <c r="A191" s="19"/>
      <c r="B191" s="106" t="s">
        <v>444</v>
      </c>
      <c r="C191" s="107"/>
      <c r="D191" s="107"/>
      <c r="E191" s="107"/>
      <c r="F191" s="107"/>
      <c r="G191" s="307">
        <v>145684.85999999999</v>
      </c>
      <c r="H191" s="308"/>
      <c r="I191" s="309"/>
      <c r="J191" s="71"/>
      <c r="K191" s="19"/>
      <c r="L191" s="106" t="s">
        <v>444</v>
      </c>
      <c r="M191" s="107"/>
      <c r="N191" s="107"/>
      <c r="O191" s="107"/>
      <c r="P191" s="107"/>
      <c r="Q191" s="307">
        <v>14392.76</v>
      </c>
      <c r="R191" s="308"/>
      <c r="S191" s="309"/>
    </row>
    <row r="192" spans="1:19" ht="60.6" customHeight="1" x14ac:dyDescent="0.25">
      <c r="A192" s="4"/>
      <c r="B192" s="354" t="s">
        <v>610</v>
      </c>
      <c r="C192" s="354"/>
      <c r="D192" s="354"/>
      <c r="E192" s="354"/>
      <c r="F192" s="354"/>
      <c r="G192" s="354"/>
      <c r="H192" s="354"/>
      <c r="I192" s="354"/>
      <c r="K192" s="4"/>
      <c r="L192" s="339"/>
      <c r="M192" s="339"/>
      <c r="N192" s="339"/>
      <c r="O192" s="339"/>
      <c r="P192" s="339"/>
      <c r="Q192" s="339"/>
      <c r="R192" s="339"/>
      <c r="S192" s="339"/>
    </row>
    <row r="193" spans="1:19" ht="15.75" x14ac:dyDescent="0.25">
      <c r="A193" s="30"/>
      <c r="C193" s="30"/>
      <c r="K193" s="30"/>
      <c r="N193" s="30"/>
    </row>
    <row r="194" spans="1:19" ht="15.75" x14ac:dyDescent="0.25">
      <c r="A194" s="30"/>
      <c r="C194" s="30"/>
      <c r="K194" s="30"/>
      <c r="N194" s="30"/>
    </row>
    <row r="195" spans="1:19" ht="15.75" x14ac:dyDescent="0.25">
      <c r="A195" s="30"/>
      <c r="C195" s="30"/>
      <c r="K195" s="30"/>
      <c r="N195" s="30"/>
    </row>
    <row r="196" spans="1:19" ht="15" customHeight="1" x14ac:dyDescent="0.25">
      <c r="A196" s="3"/>
      <c r="B196" s="3"/>
      <c r="C196" s="3"/>
      <c r="D196" s="3"/>
      <c r="E196" s="4" t="s">
        <v>204</v>
      </c>
      <c r="F196" s="3"/>
      <c r="G196" s="3"/>
      <c r="H196" s="3"/>
      <c r="I196" s="3"/>
      <c r="K196" s="3"/>
      <c r="L196" s="3"/>
      <c r="M196" s="3"/>
      <c r="N196" s="3"/>
      <c r="O196" s="4" t="s">
        <v>204</v>
      </c>
      <c r="P196" s="3"/>
      <c r="Q196" s="3"/>
      <c r="R196" s="3"/>
      <c r="S196" s="3"/>
    </row>
    <row r="197" spans="1:19" ht="19.5" customHeight="1" x14ac:dyDescent="0.25">
      <c r="A197" s="3" t="s">
        <v>205</v>
      </c>
      <c r="B197" s="3"/>
      <c r="C197" s="3"/>
      <c r="D197" s="3" t="s">
        <v>385</v>
      </c>
      <c r="E197" s="3"/>
      <c r="F197" s="3"/>
      <c r="G197" s="3"/>
      <c r="H197" s="3"/>
      <c r="I197" s="3"/>
      <c r="K197" s="3" t="s">
        <v>205</v>
      </c>
      <c r="L197" s="3"/>
      <c r="M197" s="3"/>
      <c r="N197" s="3" t="s">
        <v>386</v>
      </c>
      <c r="O197" s="3"/>
      <c r="P197" s="3"/>
      <c r="Q197" s="3"/>
      <c r="R197" s="3"/>
      <c r="S197" s="3"/>
    </row>
    <row r="198" spans="1:19" ht="15" customHeight="1" x14ac:dyDescent="0.25">
      <c r="A198" s="3"/>
      <c r="B198" s="5" t="s">
        <v>440</v>
      </c>
      <c r="C198" s="3"/>
      <c r="D198" s="3"/>
      <c r="E198" s="3"/>
      <c r="F198" s="3"/>
      <c r="G198" s="3"/>
      <c r="H198" s="3"/>
      <c r="I198" s="3"/>
      <c r="K198" s="3"/>
      <c r="L198" s="5" t="s">
        <v>440</v>
      </c>
      <c r="M198" s="3"/>
      <c r="N198" s="3"/>
      <c r="O198" s="3"/>
      <c r="P198" s="3"/>
      <c r="Q198" s="3"/>
      <c r="R198" s="3"/>
      <c r="S198" s="3"/>
    </row>
    <row r="199" spans="1:19" ht="19.5" customHeight="1" x14ac:dyDescent="0.25">
      <c r="A199" s="3"/>
      <c r="B199" s="5" t="s">
        <v>206</v>
      </c>
      <c r="C199" s="3"/>
      <c r="D199" s="3"/>
      <c r="E199" s="3"/>
      <c r="F199" s="3">
        <v>1299.4000000000001</v>
      </c>
      <c r="G199" s="3" t="s">
        <v>207</v>
      </c>
      <c r="H199" s="3"/>
      <c r="I199" s="3"/>
      <c r="K199" s="3"/>
      <c r="L199" s="5" t="s">
        <v>206</v>
      </c>
      <c r="M199" s="3"/>
      <c r="N199" s="3"/>
      <c r="O199" s="3"/>
      <c r="P199" s="3">
        <v>1476.9</v>
      </c>
      <c r="Q199" s="3" t="s">
        <v>207</v>
      </c>
      <c r="R199" s="3"/>
      <c r="S199" s="3"/>
    </row>
    <row r="200" spans="1:19" ht="15" customHeight="1" thickBot="1" x14ac:dyDescent="0.3">
      <c r="A200" s="3"/>
      <c r="B200" s="3"/>
      <c r="C200" s="3"/>
      <c r="D200" s="4"/>
      <c r="E200" s="4"/>
      <c r="F200" s="3"/>
      <c r="G200" s="3"/>
      <c r="H200" s="3"/>
      <c r="I200" s="3"/>
      <c r="J200" s="3"/>
      <c r="K200" s="3"/>
      <c r="L200" s="3"/>
      <c r="M200" s="3"/>
      <c r="N200" s="4"/>
      <c r="O200" s="4"/>
      <c r="P200" s="3"/>
      <c r="Q200" s="3"/>
      <c r="R200" s="3"/>
      <c r="S200" s="3"/>
    </row>
    <row r="201" spans="1:19" ht="13.5" customHeight="1" x14ac:dyDescent="0.25">
      <c r="A201" s="175" t="s">
        <v>209</v>
      </c>
      <c r="B201" s="177" t="s">
        <v>210</v>
      </c>
      <c r="C201" s="178"/>
      <c r="D201" s="178"/>
      <c r="E201" s="178"/>
      <c r="F201" s="178"/>
      <c r="G201" s="180" t="s">
        <v>442</v>
      </c>
      <c r="H201" s="181"/>
      <c r="I201" s="175" t="s">
        <v>212</v>
      </c>
      <c r="J201" s="3"/>
      <c r="K201" s="175" t="s">
        <v>209</v>
      </c>
      <c r="L201" s="177" t="s">
        <v>210</v>
      </c>
      <c r="M201" s="178"/>
      <c r="N201" s="178"/>
      <c r="O201" s="178"/>
      <c r="P201" s="178"/>
      <c r="Q201" s="180" t="s">
        <v>442</v>
      </c>
      <c r="R201" s="181"/>
      <c r="S201" s="175" t="s">
        <v>212</v>
      </c>
    </row>
    <row r="202" spans="1:19" ht="42.75" customHeight="1" thickBot="1" x14ac:dyDescent="0.3">
      <c r="A202" s="176"/>
      <c r="B202" s="179"/>
      <c r="C202" s="179"/>
      <c r="D202" s="179"/>
      <c r="E202" s="179"/>
      <c r="F202" s="179"/>
      <c r="G202" s="182"/>
      <c r="H202" s="183"/>
      <c r="I202" s="184"/>
      <c r="J202" s="3"/>
      <c r="K202" s="176"/>
      <c r="L202" s="179"/>
      <c r="M202" s="179"/>
      <c r="N202" s="179"/>
      <c r="O202" s="179"/>
      <c r="P202" s="179"/>
      <c r="Q202" s="182"/>
      <c r="R202" s="183"/>
      <c r="S202" s="184"/>
    </row>
    <row r="203" spans="1:19" ht="13.5" customHeight="1" x14ac:dyDescent="0.25">
      <c r="A203" s="185" t="s">
        <v>213</v>
      </c>
      <c r="B203" s="187" t="s">
        <v>354</v>
      </c>
      <c r="C203" s="188"/>
      <c r="D203" s="188"/>
      <c r="E203" s="188"/>
      <c r="F203" s="188"/>
      <c r="G203" s="190">
        <v>47741.72</v>
      </c>
      <c r="H203" s="191"/>
      <c r="I203" s="192"/>
      <c r="J203" s="51"/>
      <c r="K203" s="185" t="s">
        <v>213</v>
      </c>
      <c r="L203" s="187" t="s">
        <v>354</v>
      </c>
      <c r="M203" s="188"/>
      <c r="N203" s="188"/>
      <c r="O203" s="188"/>
      <c r="P203" s="188"/>
      <c r="Q203" s="190">
        <v>21891.55</v>
      </c>
      <c r="R203" s="191"/>
      <c r="S203" s="192"/>
    </row>
    <row r="204" spans="1:19" ht="13.5" customHeight="1" thickBot="1" x14ac:dyDescent="0.3">
      <c r="A204" s="186"/>
      <c r="B204" s="189"/>
      <c r="C204" s="189"/>
      <c r="D204" s="189"/>
      <c r="E204" s="189"/>
      <c r="F204" s="189"/>
      <c r="G204" s="193"/>
      <c r="H204" s="194"/>
      <c r="I204" s="128"/>
      <c r="J204" s="52"/>
      <c r="K204" s="186"/>
      <c r="L204" s="189"/>
      <c r="M204" s="189"/>
      <c r="N204" s="189"/>
      <c r="O204" s="189"/>
      <c r="P204" s="189"/>
      <c r="Q204" s="193"/>
      <c r="R204" s="194"/>
      <c r="S204" s="128"/>
    </row>
    <row r="205" spans="1:19" ht="13.5" customHeight="1" x14ac:dyDescent="0.25">
      <c r="A205" s="6"/>
      <c r="B205" s="161" t="s">
        <v>214</v>
      </c>
      <c r="C205" s="162"/>
      <c r="D205" s="162"/>
      <c r="E205" s="162"/>
      <c r="F205" s="162"/>
      <c r="G205" s="163">
        <f>1.23*12*F199</f>
        <v>19179.144</v>
      </c>
      <c r="H205" s="164"/>
      <c r="I205" s="169" t="s">
        <v>215</v>
      </c>
      <c r="J205" s="63"/>
      <c r="K205" s="6"/>
      <c r="L205" s="161" t="s">
        <v>214</v>
      </c>
      <c r="M205" s="162"/>
      <c r="N205" s="162"/>
      <c r="O205" s="162"/>
      <c r="P205" s="162"/>
      <c r="Q205" s="163">
        <f>1.49*12*P199</f>
        <v>26406.972000000002</v>
      </c>
      <c r="R205" s="164"/>
      <c r="S205" s="169" t="s">
        <v>215</v>
      </c>
    </row>
    <row r="206" spans="1:19" ht="33" customHeight="1" thickBot="1" x14ac:dyDescent="0.3">
      <c r="A206" s="7"/>
      <c r="B206" s="171" t="s">
        <v>216</v>
      </c>
      <c r="C206" s="172"/>
      <c r="D206" s="172"/>
      <c r="E206" s="172"/>
      <c r="F206" s="172"/>
      <c r="G206" s="165"/>
      <c r="H206" s="166"/>
      <c r="I206" s="170"/>
      <c r="J206" s="43"/>
      <c r="K206" s="7"/>
      <c r="L206" s="171" t="s">
        <v>216</v>
      </c>
      <c r="M206" s="172"/>
      <c r="N206" s="172"/>
      <c r="O206" s="172"/>
      <c r="P206" s="172"/>
      <c r="Q206" s="165"/>
      <c r="R206" s="166"/>
      <c r="S206" s="170"/>
    </row>
    <row r="207" spans="1:19" ht="13.5" customHeight="1" thickBot="1" x14ac:dyDescent="0.3">
      <c r="A207" s="7"/>
      <c r="B207" s="173" t="s">
        <v>217</v>
      </c>
      <c r="C207" s="174"/>
      <c r="D207" s="174"/>
      <c r="E207" s="174"/>
      <c r="F207" s="174"/>
      <c r="G207" s="167"/>
      <c r="H207" s="168"/>
      <c r="I207" s="8" t="s">
        <v>218</v>
      </c>
      <c r="J207" s="42"/>
      <c r="K207" s="7"/>
      <c r="L207" s="173" t="s">
        <v>217</v>
      </c>
      <c r="M207" s="174"/>
      <c r="N207" s="174"/>
      <c r="O207" s="174"/>
      <c r="P207" s="174"/>
      <c r="Q207" s="167"/>
      <c r="R207" s="168"/>
      <c r="S207" s="8" t="s">
        <v>218</v>
      </c>
    </row>
    <row r="208" spans="1:19" ht="13.5" customHeight="1" thickBot="1" x14ac:dyDescent="0.3">
      <c r="A208" s="7"/>
      <c r="B208" s="141" t="s">
        <v>219</v>
      </c>
      <c r="C208" s="142"/>
      <c r="D208" s="142"/>
      <c r="E208" s="142"/>
      <c r="F208" s="142"/>
      <c r="G208" s="143">
        <v>0</v>
      </c>
      <c r="H208" s="144"/>
      <c r="I208" s="8" t="s">
        <v>220</v>
      </c>
      <c r="J208" s="43"/>
      <c r="K208" s="7"/>
      <c r="L208" s="141" t="s">
        <v>219</v>
      </c>
      <c r="M208" s="142"/>
      <c r="N208" s="142"/>
      <c r="O208" s="142"/>
      <c r="P208" s="142"/>
      <c r="Q208" s="143">
        <v>0</v>
      </c>
      <c r="R208" s="144"/>
      <c r="S208" s="8" t="s">
        <v>220</v>
      </c>
    </row>
    <row r="209" spans="1:19" ht="19.5" customHeight="1" thickBot="1" x14ac:dyDescent="0.3">
      <c r="A209" s="7"/>
      <c r="B209" s="141" t="s">
        <v>221</v>
      </c>
      <c r="C209" s="142"/>
      <c r="D209" s="142"/>
      <c r="E209" s="142"/>
      <c r="F209" s="142"/>
      <c r="G209" s="143">
        <f>0.3*12*F199</f>
        <v>4677.84</v>
      </c>
      <c r="H209" s="144"/>
      <c r="I209" s="8" t="s">
        <v>222</v>
      </c>
      <c r="J209" s="55"/>
      <c r="K209" s="7"/>
      <c r="L209" s="141" t="s">
        <v>221</v>
      </c>
      <c r="M209" s="142"/>
      <c r="N209" s="142"/>
      <c r="O209" s="142"/>
      <c r="P209" s="142"/>
      <c r="Q209" s="143">
        <f>0.2*12*P199</f>
        <v>3544.5600000000009</v>
      </c>
      <c r="R209" s="144"/>
      <c r="S209" s="8" t="s">
        <v>222</v>
      </c>
    </row>
    <row r="210" spans="1:19" ht="13.5" customHeight="1" x14ac:dyDescent="0.25">
      <c r="A210" s="9"/>
      <c r="B210" s="145" t="s">
        <v>223</v>
      </c>
      <c r="C210" s="146"/>
      <c r="D210" s="146"/>
      <c r="E210" s="146"/>
      <c r="F210" s="146"/>
      <c r="G210" s="86">
        <f>1.78*12*F199</f>
        <v>27755.184000000001</v>
      </c>
      <c r="H210" s="147"/>
      <c r="I210" s="152" t="s">
        <v>224</v>
      </c>
      <c r="J210" s="56"/>
      <c r="K210" s="9"/>
      <c r="L210" s="145" t="s">
        <v>223</v>
      </c>
      <c r="M210" s="146"/>
      <c r="N210" s="146"/>
      <c r="O210" s="146"/>
      <c r="P210" s="146"/>
      <c r="Q210" s="86">
        <f>1.75*12*P199</f>
        <v>31014.9</v>
      </c>
      <c r="R210" s="147"/>
      <c r="S210" s="152" t="s">
        <v>224</v>
      </c>
    </row>
    <row r="211" spans="1:19" ht="15.75" customHeight="1" x14ac:dyDescent="0.25">
      <c r="A211" s="10"/>
      <c r="B211" s="155" t="s">
        <v>226</v>
      </c>
      <c r="C211" s="156"/>
      <c r="D211" s="156"/>
      <c r="E211" s="156"/>
      <c r="F211" s="156"/>
      <c r="G211" s="148"/>
      <c r="H211" s="149"/>
      <c r="I211" s="153"/>
      <c r="J211" s="56"/>
      <c r="K211" s="10"/>
      <c r="L211" s="155" t="s">
        <v>226</v>
      </c>
      <c r="M211" s="156"/>
      <c r="N211" s="156"/>
      <c r="O211" s="156"/>
      <c r="P211" s="156"/>
      <c r="Q211" s="148"/>
      <c r="R211" s="149"/>
      <c r="S211" s="153"/>
    </row>
    <row r="212" spans="1:19" ht="15.75" customHeight="1" thickBot="1" x14ac:dyDescent="0.3">
      <c r="A212" s="10"/>
      <c r="B212" s="157" t="s">
        <v>227</v>
      </c>
      <c r="C212" s="158"/>
      <c r="D212" s="158"/>
      <c r="E212" s="158"/>
      <c r="F212" s="158"/>
      <c r="G212" s="148"/>
      <c r="H212" s="149"/>
      <c r="I212" s="154"/>
      <c r="J212" s="56"/>
      <c r="K212" s="10"/>
      <c r="L212" s="157" t="s">
        <v>227</v>
      </c>
      <c r="M212" s="158"/>
      <c r="N212" s="158"/>
      <c r="O212" s="158"/>
      <c r="P212" s="158"/>
      <c r="Q212" s="148"/>
      <c r="R212" s="149"/>
      <c r="S212" s="154"/>
    </row>
    <row r="213" spans="1:19" ht="15.75" customHeight="1" thickBot="1" x14ac:dyDescent="0.3">
      <c r="A213" s="10"/>
      <c r="B213" s="159" t="s">
        <v>228</v>
      </c>
      <c r="C213" s="160"/>
      <c r="D213" s="160"/>
      <c r="E213" s="160"/>
      <c r="F213" s="160"/>
      <c r="G213" s="150"/>
      <c r="H213" s="151"/>
      <c r="I213" s="11" t="s">
        <v>229</v>
      </c>
      <c r="J213" s="57"/>
      <c r="K213" s="10"/>
      <c r="L213" s="159" t="s">
        <v>228</v>
      </c>
      <c r="M213" s="160"/>
      <c r="N213" s="160"/>
      <c r="O213" s="160"/>
      <c r="P213" s="160"/>
      <c r="Q213" s="150"/>
      <c r="R213" s="151"/>
      <c r="S213" s="11" t="s">
        <v>229</v>
      </c>
    </row>
    <row r="214" spans="1:19" x14ac:dyDescent="0.25">
      <c r="A214" s="12"/>
      <c r="B214" s="125" t="s">
        <v>230</v>
      </c>
      <c r="C214" s="126"/>
      <c r="D214" s="126"/>
      <c r="E214" s="126"/>
      <c r="F214" s="126"/>
      <c r="G214" s="86">
        <v>0</v>
      </c>
      <c r="H214" s="87"/>
      <c r="I214" s="129" t="s">
        <v>220</v>
      </c>
      <c r="J214" s="43"/>
      <c r="K214" s="12"/>
      <c r="L214" s="125" t="s">
        <v>230</v>
      </c>
      <c r="M214" s="126"/>
      <c r="N214" s="126"/>
      <c r="O214" s="126"/>
      <c r="P214" s="126"/>
      <c r="Q214" s="86"/>
      <c r="R214" s="87"/>
      <c r="S214" s="129" t="s">
        <v>220</v>
      </c>
    </row>
    <row r="215" spans="1:19" ht="15" customHeight="1" thickBot="1" x14ac:dyDescent="0.3">
      <c r="A215" s="7"/>
      <c r="B215" s="131" t="s">
        <v>231</v>
      </c>
      <c r="C215" s="132"/>
      <c r="D215" s="132"/>
      <c r="E215" s="132"/>
      <c r="F215" s="132"/>
      <c r="G215" s="127"/>
      <c r="H215" s="128"/>
      <c r="I215" s="130"/>
      <c r="J215" s="43"/>
      <c r="K215" s="7"/>
      <c r="L215" s="131" t="s">
        <v>231</v>
      </c>
      <c r="M215" s="132"/>
      <c r="N215" s="132"/>
      <c r="O215" s="132"/>
      <c r="P215" s="132"/>
      <c r="Q215" s="127"/>
      <c r="R215" s="128"/>
      <c r="S215" s="130"/>
    </row>
    <row r="216" spans="1:19" ht="15.75" customHeight="1" thickBot="1" x14ac:dyDescent="0.3">
      <c r="A216" s="13"/>
      <c r="B216" s="133" t="s">
        <v>232</v>
      </c>
      <c r="C216" s="134"/>
      <c r="D216" s="134"/>
      <c r="E216" s="134"/>
      <c r="F216" s="134"/>
      <c r="G216" s="135"/>
      <c r="H216" s="136"/>
      <c r="I216" s="14"/>
      <c r="J216" s="43"/>
      <c r="K216" s="13"/>
      <c r="L216" s="133" t="s">
        <v>232</v>
      </c>
      <c r="M216" s="134"/>
      <c r="N216" s="134"/>
      <c r="O216" s="134"/>
      <c r="P216" s="134"/>
      <c r="Q216" s="135"/>
      <c r="R216" s="136"/>
      <c r="S216" s="14"/>
    </row>
    <row r="217" spans="1:19" ht="38.25" customHeight="1" thickBot="1" x14ac:dyDescent="0.3">
      <c r="A217" s="13"/>
      <c r="B217" s="84" t="s">
        <v>233</v>
      </c>
      <c r="C217" s="85"/>
      <c r="D217" s="85"/>
      <c r="E217" s="85"/>
      <c r="F217" s="85"/>
      <c r="G217" s="86">
        <f>1.3*12*F199</f>
        <v>20270.640000000003</v>
      </c>
      <c r="H217" s="87"/>
      <c r="I217" s="92" t="s">
        <v>620</v>
      </c>
      <c r="J217" s="58"/>
      <c r="K217" s="13"/>
      <c r="L217" s="84" t="s">
        <v>233</v>
      </c>
      <c r="M217" s="85"/>
      <c r="N217" s="85"/>
      <c r="O217" s="85"/>
      <c r="P217" s="85"/>
      <c r="Q217" s="86">
        <f>1*12*P199</f>
        <v>17722.800000000003</v>
      </c>
      <c r="R217" s="87"/>
      <c r="S217" s="320" t="s">
        <v>621</v>
      </c>
    </row>
    <row r="218" spans="1:19" ht="47.25" customHeight="1" x14ac:dyDescent="0.25">
      <c r="A218" s="118"/>
      <c r="B218" s="121" t="s">
        <v>226</v>
      </c>
      <c r="C218" s="122"/>
      <c r="D218" s="122"/>
      <c r="E218" s="122"/>
      <c r="F218" s="122"/>
      <c r="G218" s="88"/>
      <c r="H218" s="89"/>
      <c r="I218" s="93"/>
      <c r="J218" s="41"/>
      <c r="K218" s="118"/>
      <c r="L218" s="121" t="s">
        <v>226</v>
      </c>
      <c r="M218" s="122"/>
      <c r="N218" s="122"/>
      <c r="O218" s="122"/>
      <c r="P218" s="122"/>
      <c r="Q218" s="88"/>
      <c r="R218" s="89"/>
      <c r="S218" s="321"/>
    </row>
    <row r="219" spans="1:19" ht="36.75" customHeight="1" x14ac:dyDescent="0.25">
      <c r="A219" s="119"/>
      <c r="B219" s="121" t="s">
        <v>227</v>
      </c>
      <c r="C219" s="122"/>
      <c r="D219" s="122"/>
      <c r="E219" s="122"/>
      <c r="F219" s="122"/>
      <c r="G219" s="88"/>
      <c r="H219" s="89"/>
      <c r="I219" s="93"/>
      <c r="J219" s="41"/>
      <c r="K219" s="119"/>
      <c r="L219" s="121" t="s">
        <v>227</v>
      </c>
      <c r="M219" s="122"/>
      <c r="N219" s="122"/>
      <c r="O219" s="122"/>
      <c r="P219" s="122"/>
      <c r="Q219" s="88"/>
      <c r="R219" s="89"/>
      <c r="S219" s="321"/>
    </row>
    <row r="220" spans="1:19" ht="39" customHeight="1" x14ac:dyDescent="0.25">
      <c r="A220" s="119"/>
      <c r="B220" s="121" t="s">
        <v>228</v>
      </c>
      <c r="C220" s="122"/>
      <c r="D220" s="122"/>
      <c r="E220" s="122"/>
      <c r="F220" s="122"/>
      <c r="G220" s="88"/>
      <c r="H220" s="89"/>
      <c r="I220" s="93"/>
      <c r="J220" s="41"/>
      <c r="K220" s="119"/>
      <c r="L220" s="121" t="s">
        <v>228</v>
      </c>
      <c r="M220" s="122"/>
      <c r="N220" s="122"/>
      <c r="O220" s="122"/>
      <c r="P220" s="122"/>
      <c r="Q220" s="88"/>
      <c r="R220" s="89"/>
      <c r="S220" s="321"/>
    </row>
    <row r="221" spans="1:19" ht="41.25" customHeight="1" thickBot="1" x14ac:dyDescent="0.3">
      <c r="A221" s="120"/>
      <c r="B221" s="123" t="s">
        <v>234</v>
      </c>
      <c r="C221" s="124"/>
      <c r="D221" s="124"/>
      <c r="E221" s="124"/>
      <c r="F221" s="124"/>
      <c r="G221" s="90"/>
      <c r="H221" s="91"/>
      <c r="I221" s="94"/>
      <c r="J221" s="41"/>
      <c r="K221" s="120"/>
      <c r="L221" s="123" t="s">
        <v>234</v>
      </c>
      <c r="M221" s="124"/>
      <c r="N221" s="124"/>
      <c r="O221" s="124"/>
      <c r="P221" s="124"/>
      <c r="Q221" s="90"/>
      <c r="R221" s="91"/>
      <c r="S221" s="322"/>
    </row>
    <row r="222" spans="1:19" ht="15.75" hidden="1" thickBot="1" x14ac:dyDescent="0.3">
      <c r="A222" s="15"/>
      <c r="B222" s="137" t="s">
        <v>248</v>
      </c>
      <c r="C222" s="138"/>
      <c r="D222" s="138"/>
      <c r="E222" s="138"/>
      <c r="F222" s="138"/>
      <c r="G222" s="139"/>
      <c r="H222" s="140"/>
      <c r="I222" s="16"/>
      <c r="J222" s="42"/>
      <c r="K222" s="15"/>
      <c r="L222" s="137" t="s">
        <v>248</v>
      </c>
      <c r="M222" s="138"/>
      <c r="N222" s="138"/>
      <c r="O222" s="138"/>
      <c r="P222" s="138"/>
      <c r="Q222" s="139"/>
      <c r="R222" s="140"/>
      <c r="S222" s="16"/>
    </row>
    <row r="223" spans="1:19" ht="1.5" customHeight="1" thickBot="1" x14ac:dyDescent="0.3">
      <c r="A223" s="15"/>
      <c r="B223" s="137" t="s">
        <v>235</v>
      </c>
      <c r="C223" s="138"/>
      <c r="D223" s="138"/>
      <c r="E223" s="138"/>
      <c r="F223" s="138"/>
      <c r="G223" s="139"/>
      <c r="H223" s="140"/>
      <c r="I223" s="16"/>
      <c r="J223" s="43"/>
      <c r="K223" s="15"/>
      <c r="L223" s="137" t="s">
        <v>235</v>
      </c>
      <c r="M223" s="138"/>
      <c r="N223" s="138"/>
      <c r="O223" s="138"/>
      <c r="P223" s="138"/>
      <c r="Q223" s="139"/>
      <c r="R223" s="140"/>
      <c r="S223" s="16"/>
    </row>
    <row r="224" spans="1:19" ht="26.25" customHeight="1" thickBot="1" x14ac:dyDescent="0.3">
      <c r="A224" s="17"/>
      <c r="B224" s="78" t="s">
        <v>237</v>
      </c>
      <c r="C224" s="79"/>
      <c r="D224" s="79"/>
      <c r="E224" s="79"/>
      <c r="F224" s="79"/>
      <c r="G224" s="86">
        <v>7955</v>
      </c>
      <c r="H224" s="87"/>
      <c r="I224" s="108" t="s">
        <v>229</v>
      </c>
      <c r="J224" s="59"/>
      <c r="K224" s="17"/>
      <c r="L224" s="78" t="s">
        <v>237</v>
      </c>
      <c r="M224" s="79"/>
      <c r="N224" s="79"/>
      <c r="O224" s="79"/>
      <c r="P224" s="79"/>
      <c r="Q224" s="86">
        <v>7955</v>
      </c>
      <c r="R224" s="87"/>
      <c r="S224" s="108" t="s">
        <v>229</v>
      </c>
    </row>
    <row r="225" spans="1:19" ht="15.75" customHeight="1" thickBot="1" x14ac:dyDescent="0.3">
      <c r="A225" s="18"/>
      <c r="B225" s="110" t="s">
        <v>238</v>
      </c>
      <c r="C225" s="111"/>
      <c r="D225" s="111"/>
      <c r="E225" s="111"/>
      <c r="F225" s="111"/>
      <c r="G225" s="90"/>
      <c r="H225" s="91"/>
      <c r="I225" s="109"/>
      <c r="J225" s="59"/>
      <c r="K225" s="18"/>
      <c r="L225" s="110" t="s">
        <v>238</v>
      </c>
      <c r="M225" s="111"/>
      <c r="N225" s="111"/>
      <c r="O225" s="111"/>
      <c r="P225" s="111"/>
      <c r="Q225" s="90"/>
      <c r="R225" s="91"/>
      <c r="S225" s="109"/>
    </row>
    <row r="226" spans="1:19" ht="15.75" customHeight="1" thickBot="1" x14ac:dyDescent="0.3">
      <c r="A226" s="19"/>
      <c r="B226" s="112" t="s">
        <v>239</v>
      </c>
      <c r="C226" s="113"/>
      <c r="D226" s="113"/>
      <c r="E226" s="113"/>
      <c r="F226" s="113"/>
      <c r="G226" s="114">
        <f>SUM(G205:H225)</f>
        <v>79837.808000000005</v>
      </c>
      <c r="H226" s="115"/>
      <c r="I226" s="20"/>
      <c r="J226" s="58"/>
      <c r="K226" s="19"/>
      <c r="L226" s="112" t="s">
        <v>239</v>
      </c>
      <c r="M226" s="113"/>
      <c r="N226" s="113"/>
      <c r="O226" s="113"/>
      <c r="P226" s="113"/>
      <c r="Q226" s="114">
        <f>SUM(Q205:R225)</f>
        <v>86644.232000000004</v>
      </c>
      <c r="R226" s="115"/>
      <c r="S226" s="20"/>
    </row>
    <row r="227" spans="1:19" ht="22.5" customHeight="1" thickBot="1" x14ac:dyDescent="0.3">
      <c r="A227" s="21"/>
      <c r="B227" s="101" t="s">
        <v>240</v>
      </c>
      <c r="C227" s="102"/>
      <c r="D227" s="102"/>
      <c r="E227" s="102"/>
      <c r="F227" s="102"/>
      <c r="G227" s="116">
        <f>G226*1.2</f>
        <v>95805.369600000005</v>
      </c>
      <c r="H227" s="117"/>
      <c r="I227" s="22"/>
      <c r="J227" s="45"/>
      <c r="K227" s="21"/>
      <c r="L227" s="101" t="s">
        <v>240</v>
      </c>
      <c r="M227" s="102"/>
      <c r="N227" s="102"/>
      <c r="O227" s="102"/>
      <c r="P227" s="102"/>
      <c r="Q227" s="116">
        <f>Q226*1.2</f>
        <v>103973.0784</v>
      </c>
      <c r="R227" s="117"/>
      <c r="S227" s="22"/>
    </row>
    <row r="228" spans="1:19" ht="22.5" customHeight="1" thickBot="1" x14ac:dyDescent="0.3">
      <c r="A228" s="24"/>
      <c r="B228" s="96" t="s">
        <v>443</v>
      </c>
      <c r="C228" s="97"/>
      <c r="D228" s="97"/>
      <c r="E228" s="97"/>
      <c r="F228" s="97"/>
      <c r="G228" s="311">
        <v>95349.14</v>
      </c>
      <c r="H228" s="312"/>
      <c r="I228" s="313"/>
      <c r="J228" s="41"/>
      <c r="K228" s="24"/>
      <c r="L228" s="96" t="s">
        <v>443</v>
      </c>
      <c r="M228" s="97"/>
      <c r="N228" s="97"/>
      <c r="O228" s="97"/>
      <c r="P228" s="97"/>
      <c r="Q228" s="311">
        <v>107824.25</v>
      </c>
      <c r="R228" s="312"/>
      <c r="S228" s="313"/>
    </row>
    <row r="229" spans="1:19" ht="22.5" customHeight="1" thickBot="1" x14ac:dyDescent="0.3">
      <c r="A229" s="19"/>
      <c r="B229" s="101" t="s">
        <v>242</v>
      </c>
      <c r="C229" s="102"/>
      <c r="D229" s="102"/>
      <c r="E229" s="102"/>
      <c r="F229" s="102"/>
      <c r="G229" s="307">
        <v>83938.64</v>
      </c>
      <c r="H229" s="308"/>
      <c r="I229" s="309"/>
      <c r="J229" s="41"/>
      <c r="K229" s="19"/>
      <c r="L229" s="101" t="s">
        <v>242</v>
      </c>
      <c r="M229" s="102"/>
      <c r="N229" s="102"/>
      <c r="O229" s="102"/>
      <c r="P229" s="102"/>
      <c r="Q229" s="307">
        <v>98046.34</v>
      </c>
      <c r="R229" s="308"/>
      <c r="S229" s="309"/>
    </row>
    <row r="230" spans="1:19" ht="22.5" customHeight="1" thickBot="1" x14ac:dyDescent="0.3">
      <c r="A230" s="19"/>
      <c r="B230" s="106" t="s">
        <v>444</v>
      </c>
      <c r="C230" s="107"/>
      <c r="D230" s="107"/>
      <c r="E230" s="107"/>
      <c r="F230" s="107"/>
      <c r="G230" s="307">
        <v>59152.22</v>
      </c>
      <c r="H230" s="308"/>
      <c r="I230" s="309"/>
      <c r="J230" s="72"/>
      <c r="K230" s="25"/>
      <c r="L230" s="106" t="s">
        <v>444</v>
      </c>
      <c r="M230" s="107"/>
      <c r="N230" s="107"/>
      <c r="O230" s="107"/>
      <c r="P230" s="107"/>
      <c r="Q230" s="307">
        <v>31669.46</v>
      </c>
      <c r="R230" s="308"/>
      <c r="S230" s="309"/>
    </row>
    <row r="231" spans="1:19" x14ac:dyDescent="0.25">
      <c r="A231" s="4"/>
      <c r="B231" s="339"/>
      <c r="C231" s="339"/>
      <c r="D231" s="339"/>
      <c r="E231" s="339"/>
      <c r="F231" s="339"/>
      <c r="G231" s="339"/>
      <c r="H231" s="339"/>
      <c r="I231" s="339"/>
      <c r="K231" s="4"/>
      <c r="L231" s="26"/>
      <c r="M231" s="26"/>
      <c r="N231" s="26"/>
      <c r="O231" s="26"/>
      <c r="P231" s="26"/>
      <c r="Q231" s="27"/>
      <c r="R231" s="3"/>
      <c r="S231" s="3"/>
    </row>
    <row r="232" spans="1:19" ht="15.75" x14ac:dyDescent="0.25">
      <c r="C232" s="30"/>
    </row>
    <row r="234" spans="1:19" ht="15" customHeight="1" x14ac:dyDescent="0.25">
      <c r="A234" s="3"/>
      <c r="B234" s="3"/>
      <c r="C234" s="3"/>
      <c r="D234" s="3"/>
      <c r="E234" s="4" t="s">
        <v>204</v>
      </c>
      <c r="F234" s="3"/>
      <c r="G234" s="3"/>
      <c r="H234" s="3"/>
      <c r="I234" s="3"/>
      <c r="K234" s="3"/>
      <c r="L234" s="3"/>
      <c r="M234" s="3"/>
      <c r="N234" s="3"/>
      <c r="O234" s="4" t="s">
        <v>204</v>
      </c>
      <c r="P234" s="3"/>
      <c r="Q234" s="3"/>
      <c r="R234" s="3"/>
      <c r="S234" s="3"/>
    </row>
    <row r="235" spans="1:19" ht="21" customHeight="1" x14ac:dyDescent="0.25">
      <c r="A235" s="3" t="s">
        <v>205</v>
      </c>
      <c r="B235" s="3"/>
      <c r="C235" s="3"/>
      <c r="D235" s="3" t="s">
        <v>387</v>
      </c>
      <c r="E235" s="3"/>
      <c r="F235" s="3"/>
      <c r="G235" s="3"/>
      <c r="H235" s="3"/>
      <c r="I235" s="3"/>
      <c r="K235" s="3" t="s">
        <v>205</v>
      </c>
      <c r="L235" s="3"/>
      <c r="M235" s="3"/>
      <c r="N235" s="3" t="s">
        <v>388</v>
      </c>
      <c r="O235" s="3"/>
      <c r="P235" s="3"/>
      <c r="Q235" s="3"/>
      <c r="R235" s="3"/>
      <c r="S235" s="3"/>
    </row>
    <row r="236" spans="1:19" ht="15" customHeight="1" x14ac:dyDescent="0.25">
      <c r="A236" s="3"/>
      <c r="B236" s="5" t="s">
        <v>440</v>
      </c>
      <c r="C236" s="3"/>
      <c r="D236" s="3"/>
      <c r="E236" s="3"/>
      <c r="F236" s="3"/>
      <c r="G236" s="3"/>
      <c r="H236" s="3"/>
      <c r="I236" s="3"/>
      <c r="K236" s="3"/>
      <c r="L236" s="5" t="s">
        <v>440</v>
      </c>
      <c r="M236" s="3"/>
      <c r="N236" s="3"/>
      <c r="O236" s="3"/>
      <c r="P236" s="3"/>
      <c r="Q236" s="3"/>
      <c r="R236" s="3"/>
      <c r="S236" s="3"/>
    </row>
    <row r="237" spans="1:19" x14ac:dyDescent="0.25">
      <c r="A237" s="3"/>
      <c r="B237" s="5" t="s">
        <v>206</v>
      </c>
      <c r="C237" s="3"/>
      <c r="D237" s="3"/>
      <c r="E237" s="3"/>
      <c r="F237" s="3">
        <v>2590.8000000000002</v>
      </c>
      <c r="G237" s="3" t="s">
        <v>207</v>
      </c>
      <c r="H237" s="3"/>
      <c r="I237" s="3"/>
      <c r="K237" s="3"/>
      <c r="L237" s="5" t="s">
        <v>206</v>
      </c>
      <c r="M237" s="3"/>
      <c r="N237" s="3"/>
      <c r="O237" s="3"/>
      <c r="P237" s="3">
        <v>2843.8</v>
      </c>
      <c r="Q237" s="3" t="s">
        <v>207</v>
      </c>
      <c r="R237" s="3"/>
      <c r="S237" s="3"/>
    </row>
    <row r="238" spans="1:19" ht="15" customHeight="1" thickBot="1" x14ac:dyDescent="0.3">
      <c r="A238" s="3"/>
      <c r="B238" s="3"/>
      <c r="C238" s="3"/>
      <c r="D238" s="4"/>
      <c r="E238" s="4"/>
      <c r="F238" s="3"/>
      <c r="G238" s="3"/>
      <c r="H238" s="3"/>
      <c r="I238" s="3"/>
      <c r="K238" s="3"/>
      <c r="L238" s="3"/>
      <c r="M238" s="3"/>
      <c r="N238" s="4"/>
      <c r="O238" s="4"/>
      <c r="P238" s="3"/>
      <c r="Q238" s="3"/>
      <c r="R238" s="3"/>
      <c r="S238" s="3"/>
    </row>
    <row r="239" spans="1:19" ht="15.75" customHeight="1" x14ac:dyDescent="0.25">
      <c r="A239" s="175" t="s">
        <v>209</v>
      </c>
      <c r="B239" s="177" t="s">
        <v>210</v>
      </c>
      <c r="C239" s="178"/>
      <c r="D239" s="178"/>
      <c r="E239" s="178"/>
      <c r="F239" s="178"/>
      <c r="G239" s="180" t="s">
        <v>442</v>
      </c>
      <c r="H239" s="181"/>
      <c r="I239" s="175" t="s">
        <v>212</v>
      </c>
      <c r="K239" s="175" t="s">
        <v>209</v>
      </c>
      <c r="L239" s="177" t="s">
        <v>210</v>
      </c>
      <c r="M239" s="178"/>
      <c r="N239" s="178"/>
      <c r="O239" s="178"/>
      <c r="P239" s="178"/>
      <c r="Q239" s="180" t="s">
        <v>442</v>
      </c>
      <c r="R239" s="181"/>
      <c r="S239" s="175" t="s">
        <v>212</v>
      </c>
    </row>
    <row r="240" spans="1:19" ht="44.25" customHeight="1" thickBot="1" x14ac:dyDescent="0.3">
      <c r="A240" s="176"/>
      <c r="B240" s="179"/>
      <c r="C240" s="179"/>
      <c r="D240" s="179"/>
      <c r="E240" s="179"/>
      <c r="F240" s="179"/>
      <c r="G240" s="182"/>
      <c r="H240" s="183"/>
      <c r="I240" s="184"/>
      <c r="K240" s="176"/>
      <c r="L240" s="179"/>
      <c r="M240" s="179"/>
      <c r="N240" s="179"/>
      <c r="O240" s="179"/>
      <c r="P240" s="179"/>
      <c r="Q240" s="182"/>
      <c r="R240" s="183"/>
      <c r="S240" s="184"/>
    </row>
    <row r="241" spans="1:19" ht="15.75" customHeight="1" x14ac:dyDescent="0.25">
      <c r="A241" s="185" t="s">
        <v>213</v>
      </c>
      <c r="B241" s="187" t="s">
        <v>354</v>
      </c>
      <c r="C241" s="188"/>
      <c r="D241" s="188"/>
      <c r="E241" s="188"/>
      <c r="F241" s="188"/>
      <c r="G241" s="190">
        <v>56066.65</v>
      </c>
      <c r="H241" s="191"/>
      <c r="I241" s="192"/>
      <c r="K241" s="185" t="s">
        <v>213</v>
      </c>
      <c r="L241" s="187" t="s">
        <v>354</v>
      </c>
      <c r="M241" s="188"/>
      <c r="N241" s="188"/>
      <c r="O241" s="188"/>
      <c r="P241" s="188"/>
      <c r="Q241" s="190">
        <v>85872.47</v>
      </c>
      <c r="R241" s="191"/>
      <c r="S241" s="192"/>
    </row>
    <row r="242" spans="1:19" ht="15.75" customHeight="1" thickBot="1" x14ac:dyDescent="0.3">
      <c r="A242" s="186"/>
      <c r="B242" s="189"/>
      <c r="C242" s="189"/>
      <c r="D242" s="189"/>
      <c r="E242" s="189"/>
      <c r="F242" s="189"/>
      <c r="G242" s="193"/>
      <c r="H242" s="194"/>
      <c r="I242" s="128"/>
      <c r="K242" s="186"/>
      <c r="L242" s="189"/>
      <c r="M242" s="189"/>
      <c r="N242" s="189"/>
      <c r="O242" s="189"/>
      <c r="P242" s="189"/>
      <c r="Q242" s="193"/>
      <c r="R242" s="194"/>
      <c r="S242" s="128"/>
    </row>
    <row r="243" spans="1:19" ht="15" customHeight="1" x14ac:dyDescent="0.25">
      <c r="A243" s="6"/>
      <c r="B243" s="161" t="s">
        <v>214</v>
      </c>
      <c r="C243" s="162"/>
      <c r="D243" s="162"/>
      <c r="E243" s="162"/>
      <c r="F243" s="162"/>
      <c r="G243" s="163">
        <f>1.15*12*F237</f>
        <v>35753.040000000001</v>
      </c>
      <c r="H243" s="164"/>
      <c r="I243" s="169" t="s">
        <v>215</v>
      </c>
      <c r="K243" s="6"/>
      <c r="L243" s="161" t="s">
        <v>214</v>
      </c>
      <c r="M243" s="162"/>
      <c r="N243" s="162"/>
      <c r="O243" s="162"/>
      <c r="P243" s="162"/>
      <c r="Q243" s="163">
        <f>1.26*12*P237</f>
        <v>42998.256000000008</v>
      </c>
      <c r="R243" s="164"/>
      <c r="S243" s="169" t="s">
        <v>215</v>
      </c>
    </row>
    <row r="244" spans="1:19" ht="34.5" customHeight="1" thickBot="1" x14ac:dyDescent="0.3">
      <c r="A244" s="7"/>
      <c r="B244" s="171" t="s">
        <v>216</v>
      </c>
      <c r="C244" s="172"/>
      <c r="D244" s="172"/>
      <c r="E244" s="172"/>
      <c r="F244" s="172"/>
      <c r="G244" s="165"/>
      <c r="H244" s="166"/>
      <c r="I244" s="170"/>
      <c r="K244" s="7"/>
      <c r="L244" s="171" t="s">
        <v>216</v>
      </c>
      <c r="M244" s="172"/>
      <c r="N244" s="172"/>
      <c r="O244" s="172"/>
      <c r="P244" s="172"/>
      <c r="Q244" s="165"/>
      <c r="R244" s="166"/>
      <c r="S244" s="170"/>
    </row>
    <row r="245" spans="1:19" ht="15.75" thickBot="1" x14ac:dyDescent="0.3">
      <c r="A245" s="7"/>
      <c r="B245" s="173" t="s">
        <v>217</v>
      </c>
      <c r="C245" s="174"/>
      <c r="D245" s="174"/>
      <c r="E245" s="174"/>
      <c r="F245" s="174"/>
      <c r="G245" s="167"/>
      <c r="H245" s="168"/>
      <c r="I245" s="8" t="s">
        <v>218</v>
      </c>
      <c r="K245" s="7"/>
      <c r="L245" s="173" t="s">
        <v>217</v>
      </c>
      <c r="M245" s="174"/>
      <c r="N245" s="174"/>
      <c r="O245" s="174"/>
      <c r="P245" s="174"/>
      <c r="Q245" s="167"/>
      <c r="R245" s="168"/>
      <c r="S245" s="8" t="s">
        <v>218</v>
      </c>
    </row>
    <row r="246" spans="1:19" ht="15.75" thickBot="1" x14ac:dyDescent="0.3">
      <c r="A246" s="7"/>
      <c r="B246" s="141" t="s">
        <v>219</v>
      </c>
      <c r="C246" s="142"/>
      <c r="D246" s="142"/>
      <c r="E246" s="142"/>
      <c r="F246" s="142"/>
      <c r="G246" s="143">
        <v>0</v>
      </c>
      <c r="H246" s="144"/>
      <c r="I246" s="8" t="s">
        <v>220</v>
      </c>
      <c r="K246" s="7"/>
      <c r="L246" s="141" t="s">
        <v>219</v>
      </c>
      <c r="M246" s="142"/>
      <c r="N246" s="142"/>
      <c r="O246" s="142"/>
      <c r="P246" s="142"/>
      <c r="Q246" s="143">
        <v>0</v>
      </c>
      <c r="R246" s="144"/>
      <c r="S246" s="8" t="s">
        <v>220</v>
      </c>
    </row>
    <row r="247" spans="1:19" ht="15.75" thickBot="1" x14ac:dyDescent="0.3">
      <c r="A247" s="7"/>
      <c r="B247" s="141" t="s">
        <v>221</v>
      </c>
      <c r="C247" s="142"/>
      <c r="D247" s="142"/>
      <c r="E247" s="142"/>
      <c r="F247" s="142"/>
      <c r="G247" s="143">
        <f>0.3*12*F237</f>
        <v>9326.8799999999992</v>
      </c>
      <c r="H247" s="144"/>
      <c r="I247" s="8" t="s">
        <v>222</v>
      </c>
      <c r="K247" s="7"/>
      <c r="L247" s="141" t="s">
        <v>221</v>
      </c>
      <c r="M247" s="142"/>
      <c r="N247" s="142"/>
      <c r="O247" s="142"/>
      <c r="P247" s="142"/>
      <c r="Q247" s="143">
        <f>0.2*12*P237</f>
        <v>6825.1200000000017</v>
      </c>
      <c r="R247" s="144"/>
      <c r="S247" s="8" t="s">
        <v>222</v>
      </c>
    </row>
    <row r="248" spans="1:19" x14ac:dyDescent="0.25">
      <c r="A248" s="9"/>
      <c r="B248" s="145" t="s">
        <v>223</v>
      </c>
      <c r="C248" s="146"/>
      <c r="D248" s="146"/>
      <c r="E248" s="146"/>
      <c r="F248" s="146"/>
      <c r="G248" s="86">
        <f>1.6*12*F237</f>
        <v>49743.360000000008</v>
      </c>
      <c r="H248" s="147"/>
      <c r="I248" s="152" t="s">
        <v>224</v>
      </c>
      <c r="K248" s="9"/>
      <c r="L248" s="145" t="s">
        <v>223</v>
      </c>
      <c r="M248" s="146"/>
      <c r="N248" s="146"/>
      <c r="O248" s="146"/>
      <c r="P248" s="146"/>
      <c r="Q248" s="86">
        <f>1.79*12*P237</f>
        <v>61084.824000000008</v>
      </c>
      <c r="R248" s="147"/>
      <c r="S248" s="152" t="s">
        <v>224</v>
      </c>
    </row>
    <row r="249" spans="1:19" ht="15.75" customHeight="1" x14ac:dyDescent="0.25">
      <c r="A249" s="10"/>
      <c r="B249" s="155" t="s">
        <v>226</v>
      </c>
      <c r="C249" s="156"/>
      <c r="D249" s="156"/>
      <c r="E249" s="156"/>
      <c r="F249" s="156"/>
      <c r="G249" s="148"/>
      <c r="H249" s="149"/>
      <c r="I249" s="153"/>
      <c r="K249" s="10"/>
      <c r="L249" s="155" t="s">
        <v>226</v>
      </c>
      <c r="M249" s="156"/>
      <c r="N249" s="156"/>
      <c r="O249" s="156"/>
      <c r="P249" s="156"/>
      <c r="Q249" s="148"/>
      <c r="R249" s="149"/>
      <c r="S249" s="153"/>
    </row>
    <row r="250" spans="1:19" ht="15.75" customHeight="1" thickBot="1" x14ac:dyDescent="0.3">
      <c r="A250" s="10"/>
      <c r="B250" s="157" t="s">
        <v>227</v>
      </c>
      <c r="C250" s="158"/>
      <c r="D250" s="158"/>
      <c r="E250" s="158"/>
      <c r="F250" s="158"/>
      <c r="G250" s="148"/>
      <c r="H250" s="149"/>
      <c r="I250" s="154"/>
      <c r="K250" s="10"/>
      <c r="L250" s="157" t="s">
        <v>227</v>
      </c>
      <c r="M250" s="158"/>
      <c r="N250" s="158"/>
      <c r="O250" s="158"/>
      <c r="P250" s="158"/>
      <c r="Q250" s="148"/>
      <c r="R250" s="149"/>
      <c r="S250" s="154"/>
    </row>
    <row r="251" spans="1:19" ht="15.75" thickBot="1" x14ac:dyDescent="0.3">
      <c r="A251" s="10"/>
      <c r="B251" s="159" t="s">
        <v>228</v>
      </c>
      <c r="C251" s="160"/>
      <c r="D251" s="160"/>
      <c r="E251" s="160"/>
      <c r="F251" s="160"/>
      <c r="G251" s="150"/>
      <c r="H251" s="151"/>
      <c r="I251" s="11" t="s">
        <v>229</v>
      </c>
      <c r="K251" s="10"/>
      <c r="L251" s="159" t="s">
        <v>228</v>
      </c>
      <c r="M251" s="160"/>
      <c r="N251" s="160"/>
      <c r="O251" s="160"/>
      <c r="P251" s="160"/>
      <c r="Q251" s="150"/>
      <c r="R251" s="151"/>
      <c r="S251" s="11" t="s">
        <v>229</v>
      </c>
    </row>
    <row r="252" spans="1:19" x14ac:dyDescent="0.25">
      <c r="A252" s="12"/>
      <c r="B252" s="125" t="s">
        <v>230</v>
      </c>
      <c r="C252" s="126"/>
      <c r="D252" s="126"/>
      <c r="E252" s="126"/>
      <c r="F252" s="126"/>
      <c r="G252" s="86">
        <f>0.02*12*F237</f>
        <v>621.79200000000003</v>
      </c>
      <c r="H252" s="87"/>
      <c r="I252" s="129" t="s">
        <v>220</v>
      </c>
      <c r="K252" s="12"/>
      <c r="L252" s="125" t="s">
        <v>230</v>
      </c>
      <c r="M252" s="126"/>
      <c r="N252" s="126"/>
      <c r="O252" s="126"/>
      <c r="P252" s="126"/>
      <c r="Q252" s="86">
        <f>0.04*12*P237</f>
        <v>1365.0240000000001</v>
      </c>
      <c r="R252" s="87"/>
      <c r="S252" s="129" t="s">
        <v>220</v>
      </c>
    </row>
    <row r="253" spans="1:19" ht="15.75" thickBot="1" x14ac:dyDescent="0.3">
      <c r="A253" s="7"/>
      <c r="B253" s="131" t="s">
        <v>231</v>
      </c>
      <c r="C253" s="132"/>
      <c r="D253" s="132"/>
      <c r="E253" s="132"/>
      <c r="F253" s="132"/>
      <c r="G253" s="127"/>
      <c r="H253" s="128"/>
      <c r="I253" s="130"/>
      <c r="K253" s="7"/>
      <c r="L253" s="131" t="s">
        <v>231</v>
      </c>
      <c r="M253" s="132"/>
      <c r="N253" s="132"/>
      <c r="O253" s="132"/>
      <c r="P253" s="132"/>
      <c r="Q253" s="127"/>
      <c r="R253" s="128"/>
      <c r="S253" s="130"/>
    </row>
    <row r="254" spans="1:19" ht="15.75" customHeight="1" thickBot="1" x14ac:dyDescent="0.3">
      <c r="A254" s="13"/>
      <c r="B254" s="133" t="s">
        <v>232</v>
      </c>
      <c r="C254" s="134"/>
      <c r="D254" s="134"/>
      <c r="E254" s="134"/>
      <c r="F254" s="134"/>
      <c r="G254" s="135"/>
      <c r="H254" s="136"/>
      <c r="I254" s="14"/>
      <c r="K254" s="13"/>
      <c r="L254" s="133" t="s">
        <v>232</v>
      </c>
      <c r="M254" s="134"/>
      <c r="N254" s="134"/>
      <c r="O254" s="134"/>
      <c r="P254" s="134"/>
      <c r="Q254" s="135"/>
      <c r="R254" s="136"/>
      <c r="S254" s="14"/>
    </row>
    <row r="255" spans="1:19" ht="42" customHeight="1" thickBot="1" x14ac:dyDescent="0.3">
      <c r="A255" s="13"/>
      <c r="B255" s="84" t="s">
        <v>233</v>
      </c>
      <c r="C255" s="85"/>
      <c r="D255" s="85"/>
      <c r="E255" s="85"/>
      <c r="F255" s="85"/>
      <c r="G255" s="86">
        <f>1.29*12*F237</f>
        <v>40105.584000000003</v>
      </c>
      <c r="H255" s="87"/>
      <c r="I255" s="317" t="s">
        <v>622</v>
      </c>
      <c r="K255" s="13"/>
      <c r="L255" s="84" t="s">
        <v>233</v>
      </c>
      <c r="M255" s="85"/>
      <c r="N255" s="85"/>
      <c r="O255" s="85"/>
      <c r="P255" s="85"/>
      <c r="Q255" s="86">
        <f>1.29*12*P237</f>
        <v>44022.024000000005</v>
      </c>
      <c r="R255" s="87"/>
      <c r="S255" s="92" t="s">
        <v>623</v>
      </c>
    </row>
    <row r="256" spans="1:19" ht="45.75" customHeight="1" x14ac:dyDescent="0.25">
      <c r="A256" s="118"/>
      <c r="B256" s="121" t="s">
        <v>226</v>
      </c>
      <c r="C256" s="122"/>
      <c r="D256" s="122"/>
      <c r="E256" s="122"/>
      <c r="F256" s="122"/>
      <c r="G256" s="88"/>
      <c r="H256" s="89"/>
      <c r="I256" s="318"/>
      <c r="K256" s="118"/>
      <c r="L256" s="121" t="s">
        <v>226</v>
      </c>
      <c r="M256" s="122"/>
      <c r="N256" s="122"/>
      <c r="O256" s="122"/>
      <c r="P256" s="122"/>
      <c r="Q256" s="88"/>
      <c r="R256" s="89"/>
      <c r="S256" s="93"/>
    </row>
    <row r="257" spans="1:19" ht="41.25" customHeight="1" x14ac:dyDescent="0.25">
      <c r="A257" s="119"/>
      <c r="B257" s="121" t="s">
        <v>227</v>
      </c>
      <c r="C257" s="122"/>
      <c r="D257" s="122"/>
      <c r="E257" s="122"/>
      <c r="F257" s="122"/>
      <c r="G257" s="88"/>
      <c r="H257" s="89"/>
      <c r="I257" s="318"/>
      <c r="K257" s="119"/>
      <c r="L257" s="121" t="s">
        <v>227</v>
      </c>
      <c r="M257" s="122"/>
      <c r="N257" s="122"/>
      <c r="O257" s="122"/>
      <c r="P257" s="122"/>
      <c r="Q257" s="88"/>
      <c r="R257" s="89"/>
      <c r="S257" s="93"/>
    </row>
    <row r="258" spans="1:19" ht="48" customHeight="1" x14ac:dyDescent="0.25">
      <c r="A258" s="119"/>
      <c r="B258" s="121" t="s">
        <v>228</v>
      </c>
      <c r="C258" s="122"/>
      <c r="D258" s="122"/>
      <c r="E258" s="122"/>
      <c r="F258" s="122"/>
      <c r="G258" s="88"/>
      <c r="H258" s="89"/>
      <c r="I258" s="318"/>
      <c r="K258" s="119"/>
      <c r="L258" s="121" t="s">
        <v>228</v>
      </c>
      <c r="M258" s="122"/>
      <c r="N258" s="122"/>
      <c r="O258" s="122"/>
      <c r="P258" s="122"/>
      <c r="Q258" s="88"/>
      <c r="R258" s="89"/>
      <c r="S258" s="93"/>
    </row>
    <row r="259" spans="1:19" ht="71.25" customHeight="1" thickBot="1" x14ac:dyDescent="0.3">
      <c r="A259" s="120"/>
      <c r="B259" s="123" t="s">
        <v>234</v>
      </c>
      <c r="C259" s="124"/>
      <c r="D259" s="124"/>
      <c r="E259" s="124"/>
      <c r="F259" s="124"/>
      <c r="G259" s="90"/>
      <c r="H259" s="91"/>
      <c r="I259" s="319"/>
      <c r="K259" s="120"/>
      <c r="L259" s="123" t="s">
        <v>234</v>
      </c>
      <c r="M259" s="124"/>
      <c r="N259" s="124"/>
      <c r="O259" s="124"/>
      <c r="P259" s="124"/>
      <c r="Q259" s="90"/>
      <c r="R259" s="91"/>
      <c r="S259" s="94"/>
    </row>
    <row r="260" spans="1:19" ht="15.75" hidden="1" thickBot="1" x14ac:dyDescent="0.3">
      <c r="A260" s="15"/>
      <c r="B260" s="137" t="s">
        <v>248</v>
      </c>
      <c r="C260" s="138"/>
      <c r="D260" s="138"/>
      <c r="E260" s="138"/>
      <c r="F260" s="138"/>
      <c r="G260" s="139"/>
      <c r="H260" s="140"/>
      <c r="I260" s="16"/>
      <c r="K260" s="15"/>
      <c r="L260" s="137" t="s">
        <v>248</v>
      </c>
      <c r="M260" s="138"/>
      <c r="N260" s="138"/>
      <c r="O260" s="138"/>
      <c r="P260" s="138"/>
      <c r="Q260" s="139"/>
      <c r="R260" s="140"/>
      <c r="S260" s="16"/>
    </row>
    <row r="261" spans="1:19" ht="0.75" customHeight="1" thickBot="1" x14ac:dyDescent="0.3">
      <c r="A261" s="15"/>
      <c r="B261" s="137" t="s">
        <v>235</v>
      </c>
      <c r="C261" s="138"/>
      <c r="D261" s="138"/>
      <c r="E261" s="138"/>
      <c r="F261" s="138"/>
      <c r="G261" s="139"/>
      <c r="H261" s="140"/>
      <c r="I261" s="16"/>
      <c r="K261" s="15"/>
      <c r="L261" s="137" t="s">
        <v>235</v>
      </c>
      <c r="M261" s="138"/>
      <c r="N261" s="138"/>
      <c r="O261" s="138"/>
      <c r="P261" s="138"/>
      <c r="Q261" s="139"/>
      <c r="R261" s="140"/>
      <c r="S261" s="16"/>
    </row>
    <row r="262" spans="1:19" ht="40.5" customHeight="1" thickBot="1" x14ac:dyDescent="0.3">
      <c r="A262" s="17"/>
      <c r="B262" s="78" t="s">
        <v>237</v>
      </c>
      <c r="C262" s="79"/>
      <c r="D262" s="79"/>
      <c r="E262" s="79"/>
      <c r="F262" s="79"/>
      <c r="G262" s="86">
        <v>3108</v>
      </c>
      <c r="H262" s="87"/>
      <c r="I262" s="108" t="s">
        <v>229</v>
      </c>
      <c r="K262" s="17"/>
      <c r="L262" s="78" t="s">
        <v>237</v>
      </c>
      <c r="M262" s="79"/>
      <c r="N262" s="79"/>
      <c r="O262" s="79"/>
      <c r="P262" s="79"/>
      <c r="Q262" s="86">
        <v>23912</v>
      </c>
      <c r="R262" s="87"/>
      <c r="S262" s="108" t="s">
        <v>229</v>
      </c>
    </row>
    <row r="263" spans="1:19" ht="15.75" thickBot="1" x14ac:dyDescent="0.3">
      <c r="A263" s="18"/>
      <c r="B263" s="110" t="s">
        <v>238</v>
      </c>
      <c r="C263" s="111"/>
      <c r="D263" s="111"/>
      <c r="E263" s="111"/>
      <c r="F263" s="111"/>
      <c r="G263" s="90"/>
      <c r="H263" s="91"/>
      <c r="I263" s="109"/>
      <c r="K263" s="18"/>
      <c r="L263" s="110" t="s">
        <v>238</v>
      </c>
      <c r="M263" s="111"/>
      <c r="N263" s="111"/>
      <c r="O263" s="111"/>
      <c r="P263" s="111"/>
      <c r="Q263" s="90"/>
      <c r="R263" s="91"/>
      <c r="S263" s="109"/>
    </row>
    <row r="264" spans="1:19" ht="22.5" customHeight="1" thickBot="1" x14ac:dyDescent="0.3">
      <c r="A264" s="19"/>
      <c r="B264" s="112" t="s">
        <v>239</v>
      </c>
      <c r="C264" s="113"/>
      <c r="D264" s="113"/>
      <c r="E264" s="113"/>
      <c r="F264" s="113"/>
      <c r="G264" s="114">
        <f>SUM(G243:H263)</f>
        <v>138658.65600000002</v>
      </c>
      <c r="H264" s="115"/>
      <c r="I264" s="20"/>
      <c r="K264" s="19"/>
      <c r="L264" s="112" t="s">
        <v>239</v>
      </c>
      <c r="M264" s="113"/>
      <c r="N264" s="113"/>
      <c r="O264" s="113"/>
      <c r="P264" s="113"/>
      <c r="Q264" s="114">
        <f>SUM(Q243:R263)</f>
        <v>180207.24800000002</v>
      </c>
      <c r="R264" s="115"/>
      <c r="S264" s="20"/>
    </row>
    <row r="265" spans="1:19" ht="22.5" customHeight="1" thickBot="1" x14ac:dyDescent="0.3">
      <c r="A265" s="21"/>
      <c r="B265" s="101" t="s">
        <v>240</v>
      </c>
      <c r="C265" s="102"/>
      <c r="D265" s="102"/>
      <c r="E265" s="102"/>
      <c r="F265" s="102"/>
      <c r="G265" s="116">
        <f>G264*1.2</f>
        <v>166390.38720000003</v>
      </c>
      <c r="H265" s="117"/>
      <c r="I265" s="22"/>
      <c r="K265" s="21"/>
      <c r="L265" s="101" t="s">
        <v>240</v>
      </c>
      <c r="M265" s="102"/>
      <c r="N265" s="102"/>
      <c r="O265" s="102"/>
      <c r="P265" s="102"/>
      <c r="Q265" s="116">
        <f>Q264*1.2</f>
        <v>216248.69760000001</v>
      </c>
      <c r="R265" s="117"/>
      <c r="S265" s="22"/>
    </row>
    <row r="266" spans="1:19" ht="22.5" customHeight="1" thickBot="1" x14ac:dyDescent="0.3">
      <c r="A266" s="24"/>
      <c r="B266" s="96" t="s">
        <v>443</v>
      </c>
      <c r="C266" s="97"/>
      <c r="D266" s="97"/>
      <c r="E266" s="97"/>
      <c r="F266" s="97"/>
      <c r="G266" s="311">
        <v>158140.89000000001</v>
      </c>
      <c r="H266" s="312"/>
      <c r="I266" s="313"/>
      <c r="K266" s="24"/>
      <c r="L266" s="96" t="s">
        <v>443</v>
      </c>
      <c r="M266" s="97"/>
      <c r="N266" s="97"/>
      <c r="O266" s="97"/>
      <c r="P266" s="97"/>
      <c r="Q266" s="311">
        <v>213071.42</v>
      </c>
      <c r="R266" s="312"/>
      <c r="S266" s="313"/>
    </row>
    <row r="267" spans="1:19" ht="22.5" customHeight="1" thickBot="1" x14ac:dyDescent="0.3">
      <c r="A267" s="19"/>
      <c r="B267" s="101" t="s">
        <v>242</v>
      </c>
      <c r="C267" s="102"/>
      <c r="D267" s="102"/>
      <c r="E267" s="102"/>
      <c r="F267" s="102"/>
      <c r="G267" s="307">
        <v>158462.31</v>
      </c>
      <c r="H267" s="308"/>
      <c r="I267" s="309"/>
      <c r="K267" s="19"/>
      <c r="L267" s="101" t="s">
        <v>242</v>
      </c>
      <c r="M267" s="102"/>
      <c r="N267" s="102"/>
      <c r="O267" s="102"/>
      <c r="P267" s="102"/>
      <c r="Q267" s="307">
        <v>223985.96</v>
      </c>
      <c r="R267" s="308"/>
      <c r="S267" s="309"/>
    </row>
    <row r="268" spans="1:19" ht="22.5" customHeight="1" thickBot="1" x14ac:dyDescent="0.3">
      <c r="A268" s="19"/>
      <c r="B268" s="106" t="s">
        <v>444</v>
      </c>
      <c r="C268" s="107"/>
      <c r="D268" s="107"/>
      <c r="E268" s="107"/>
      <c r="F268" s="107"/>
      <c r="G268" s="307">
        <v>55745.23</v>
      </c>
      <c r="H268" s="308"/>
      <c r="I268" s="309"/>
      <c r="K268" s="19"/>
      <c r="L268" s="106" t="s">
        <v>444</v>
      </c>
      <c r="M268" s="107"/>
      <c r="N268" s="107"/>
      <c r="O268" s="107"/>
      <c r="P268" s="107"/>
      <c r="Q268" s="307">
        <v>74957.929999999993</v>
      </c>
      <c r="R268" s="308"/>
      <c r="S268" s="309"/>
    </row>
    <row r="269" spans="1:19" x14ac:dyDescent="0.25">
      <c r="B269" s="323"/>
      <c r="C269" s="323"/>
      <c r="D269" s="323"/>
      <c r="E269" s="323"/>
      <c r="F269" s="323"/>
      <c r="G269" s="323"/>
      <c r="H269" s="323"/>
      <c r="I269" s="323"/>
      <c r="K269" s="4"/>
      <c r="L269" s="26"/>
      <c r="M269" s="26"/>
      <c r="N269" s="26"/>
      <c r="O269" s="26"/>
      <c r="P269" s="26"/>
      <c r="Q269" s="27"/>
      <c r="R269" s="3"/>
      <c r="S269" s="3"/>
    </row>
    <row r="270" spans="1:19" ht="28.5" customHeight="1" x14ac:dyDescent="0.25">
      <c r="A270" s="3"/>
      <c r="B270" s="353"/>
      <c r="C270" s="353"/>
      <c r="D270" s="353"/>
      <c r="E270" s="353"/>
      <c r="F270" s="353"/>
      <c r="G270" s="353"/>
      <c r="H270" s="353"/>
      <c r="I270" s="353"/>
      <c r="K270" s="4"/>
      <c r="L270" s="26"/>
      <c r="M270" s="26"/>
      <c r="N270" s="26"/>
      <c r="O270" s="26"/>
      <c r="P270" s="26"/>
      <c r="Q270" s="27"/>
      <c r="R270" s="3"/>
      <c r="S270" s="3"/>
    </row>
    <row r="271" spans="1:19" ht="31.5" customHeight="1" x14ac:dyDescent="0.25">
      <c r="A271" s="3"/>
      <c r="C271" s="30"/>
      <c r="K271" s="4"/>
      <c r="L271" s="26"/>
      <c r="M271" s="26"/>
      <c r="N271" s="26"/>
      <c r="O271" s="26"/>
      <c r="P271" s="26"/>
      <c r="Q271" s="27"/>
      <c r="R271" s="3"/>
      <c r="S271" s="3"/>
    </row>
    <row r="272" spans="1:19" ht="15.75" x14ac:dyDescent="0.25">
      <c r="A272" s="30"/>
      <c r="C272" s="30"/>
      <c r="O272" s="50"/>
      <c r="S272" s="5"/>
    </row>
    <row r="273" spans="11:19" x14ac:dyDescent="0.25">
      <c r="K273" s="3"/>
      <c r="S273" s="5"/>
    </row>
    <row r="274" spans="11:19" ht="15.75" x14ac:dyDescent="0.25">
      <c r="K274" s="3"/>
      <c r="M274" s="30"/>
    </row>
    <row r="275" spans="11:19" ht="15.75" x14ac:dyDescent="0.25">
      <c r="K275" s="30"/>
      <c r="M275" s="30"/>
    </row>
  </sheetData>
  <mergeCells count="769">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S28:S29"/>
    <mergeCell ref="B29:F29"/>
    <mergeCell ref="L29:P29"/>
    <mergeCell ref="B26:F26"/>
    <mergeCell ref="G26:H26"/>
    <mergeCell ref="L26:P26"/>
    <mergeCell ref="Q26:R26"/>
    <mergeCell ref="B27:F27"/>
    <mergeCell ref="G27:H27"/>
    <mergeCell ref="L27:P27"/>
    <mergeCell ref="Q27:R27"/>
    <mergeCell ref="B30:F30"/>
    <mergeCell ref="G30:H30"/>
    <mergeCell ref="L30:P30"/>
    <mergeCell ref="Q30:R30"/>
    <mergeCell ref="B31:F31"/>
    <mergeCell ref="G31:H31"/>
    <mergeCell ref="L31:P31"/>
    <mergeCell ref="Q31:R31"/>
    <mergeCell ref="B28:F28"/>
    <mergeCell ref="G28:H29"/>
    <mergeCell ref="I28:I29"/>
    <mergeCell ref="L28:P28"/>
    <mergeCell ref="Q28:R29"/>
    <mergeCell ref="B34:F34"/>
    <mergeCell ref="G34:I34"/>
    <mergeCell ref="L34:P34"/>
    <mergeCell ref="Q34:S34"/>
    <mergeCell ref="B35:I35"/>
    <mergeCell ref="B36:I36"/>
    <mergeCell ref="B32:F32"/>
    <mergeCell ref="G32:I32"/>
    <mergeCell ref="L32:P32"/>
    <mergeCell ref="Q32:S32"/>
    <mergeCell ref="B33:F33"/>
    <mergeCell ref="G33:I33"/>
    <mergeCell ref="L33:P33"/>
    <mergeCell ref="Q33:S33"/>
    <mergeCell ref="Q45:R46"/>
    <mergeCell ref="S45:S46"/>
    <mergeCell ref="A47:A48"/>
    <mergeCell ref="B47:F48"/>
    <mergeCell ref="G47:I48"/>
    <mergeCell ref="K47:K48"/>
    <mergeCell ref="L47:P48"/>
    <mergeCell ref="Q47:S48"/>
    <mergeCell ref="A45:A46"/>
    <mergeCell ref="B45:F46"/>
    <mergeCell ref="G45:H46"/>
    <mergeCell ref="I45:I46"/>
    <mergeCell ref="K45:K46"/>
    <mergeCell ref="L45:P46"/>
    <mergeCell ref="B49:F49"/>
    <mergeCell ref="G49:H51"/>
    <mergeCell ref="I49:I50"/>
    <mergeCell ref="L49:P49"/>
    <mergeCell ref="Q49:R51"/>
    <mergeCell ref="S49:S50"/>
    <mergeCell ref="B50:F50"/>
    <mergeCell ref="L50:P50"/>
    <mergeCell ref="B51:F51"/>
    <mergeCell ref="L51:P51"/>
    <mergeCell ref="B56:F56"/>
    <mergeCell ref="L56:P56"/>
    <mergeCell ref="B52:F52"/>
    <mergeCell ref="G52:H52"/>
    <mergeCell ref="L52:P52"/>
    <mergeCell ref="Q52:R52"/>
    <mergeCell ref="B53:F53"/>
    <mergeCell ref="G53:H53"/>
    <mergeCell ref="L53:P53"/>
    <mergeCell ref="Q53:R53"/>
    <mergeCell ref="B54:F54"/>
    <mergeCell ref="G54:H57"/>
    <mergeCell ref="I54:I56"/>
    <mergeCell ref="L54:P54"/>
    <mergeCell ref="B61:F61"/>
    <mergeCell ref="G61:H65"/>
    <mergeCell ref="I61:I65"/>
    <mergeCell ref="L61:P61"/>
    <mergeCell ref="Q54:R57"/>
    <mergeCell ref="B57:F57"/>
    <mergeCell ref="L57:P57"/>
    <mergeCell ref="Q61:R65"/>
    <mergeCell ref="S61:S65"/>
    <mergeCell ref="Q58:R59"/>
    <mergeCell ref="S58:S59"/>
    <mergeCell ref="B59:F59"/>
    <mergeCell ref="L59:P59"/>
    <mergeCell ref="B60:F60"/>
    <mergeCell ref="G60:H60"/>
    <mergeCell ref="L60:P60"/>
    <mergeCell ref="Q60:R60"/>
    <mergeCell ref="B58:F58"/>
    <mergeCell ref="G58:H59"/>
    <mergeCell ref="I58:I59"/>
    <mergeCell ref="L58:P58"/>
    <mergeCell ref="S54:S56"/>
    <mergeCell ref="B55:F55"/>
    <mergeCell ref="L55:P55"/>
    <mergeCell ref="A62:A65"/>
    <mergeCell ref="B62:F62"/>
    <mergeCell ref="K62:K65"/>
    <mergeCell ref="L62:P62"/>
    <mergeCell ref="B63:F63"/>
    <mergeCell ref="L63:P63"/>
    <mergeCell ref="B64:F64"/>
    <mergeCell ref="L64:P64"/>
    <mergeCell ref="B65:F65"/>
    <mergeCell ref="L65:P65"/>
    <mergeCell ref="S68:S69"/>
    <mergeCell ref="B69:F69"/>
    <mergeCell ref="L69:P69"/>
    <mergeCell ref="B66:F66"/>
    <mergeCell ref="G66:H66"/>
    <mergeCell ref="L66:P66"/>
    <mergeCell ref="Q66:R66"/>
    <mergeCell ref="B67:F67"/>
    <mergeCell ref="G67:H67"/>
    <mergeCell ref="L67:P67"/>
    <mergeCell ref="Q67:R67"/>
    <mergeCell ref="B70:F70"/>
    <mergeCell ref="G70:H70"/>
    <mergeCell ref="L70:P70"/>
    <mergeCell ref="Q70:R70"/>
    <mergeCell ref="B71:F71"/>
    <mergeCell ref="G71:H71"/>
    <mergeCell ref="L71:P71"/>
    <mergeCell ref="Q71:R71"/>
    <mergeCell ref="B68:F68"/>
    <mergeCell ref="G68:H69"/>
    <mergeCell ref="I68:I69"/>
    <mergeCell ref="L68:P68"/>
    <mergeCell ref="Q68:R69"/>
    <mergeCell ref="Q74:S74"/>
    <mergeCell ref="B75:I75"/>
    <mergeCell ref="L75:S75"/>
    <mergeCell ref="B72:F72"/>
    <mergeCell ref="G72:I72"/>
    <mergeCell ref="L72:P72"/>
    <mergeCell ref="Q72:S72"/>
    <mergeCell ref="B73:F73"/>
    <mergeCell ref="G73:I73"/>
    <mergeCell ref="L73:P73"/>
    <mergeCell ref="Q73:S73"/>
    <mergeCell ref="B76:I76"/>
    <mergeCell ref="B77:I77"/>
    <mergeCell ref="A84:A85"/>
    <mergeCell ref="B84:F85"/>
    <mergeCell ref="G84:H85"/>
    <mergeCell ref="I84:I85"/>
    <mergeCell ref="B74:F74"/>
    <mergeCell ref="G74:I74"/>
    <mergeCell ref="L74:P74"/>
    <mergeCell ref="K84:K85"/>
    <mergeCell ref="L84:P85"/>
    <mergeCell ref="Q84:R85"/>
    <mergeCell ref="S84:S85"/>
    <mergeCell ref="A86:A87"/>
    <mergeCell ref="B86:F87"/>
    <mergeCell ref="G86:I87"/>
    <mergeCell ref="K86:K87"/>
    <mergeCell ref="L86:P87"/>
    <mergeCell ref="Q86:S87"/>
    <mergeCell ref="B88:F88"/>
    <mergeCell ref="G88:H90"/>
    <mergeCell ref="I88:I89"/>
    <mergeCell ref="L88:P88"/>
    <mergeCell ref="Q88:R90"/>
    <mergeCell ref="S88:S89"/>
    <mergeCell ref="B89:F89"/>
    <mergeCell ref="L89:P89"/>
    <mergeCell ref="B90:F90"/>
    <mergeCell ref="L90:P90"/>
    <mergeCell ref="B95:F95"/>
    <mergeCell ref="L95:P95"/>
    <mergeCell ref="B91:F91"/>
    <mergeCell ref="G91:H91"/>
    <mergeCell ref="L91:P91"/>
    <mergeCell ref="Q91:R91"/>
    <mergeCell ref="B92:F92"/>
    <mergeCell ref="G92:H92"/>
    <mergeCell ref="L92:P92"/>
    <mergeCell ref="Q92:R92"/>
    <mergeCell ref="B93:F93"/>
    <mergeCell ref="G93:H96"/>
    <mergeCell ref="I93:I95"/>
    <mergeCell ref="L93:P93"/>
    <mergeCell ref="B100:F100"/>
    <mergeCell ref="G100:H104"/>
    <mergeCell ref="I100:I104"/>
    <mergeCell ref="L100:P100"/>
    <mergeCell ref="Q93:R96"/>
    <mergeCell ref="B96:F96"/>
    <mergeCell ref="L96:P96"/>
    <mergeCell ref="Q100:R104"/>
    <mergeCell ref="S100:S104"/>
    <mergeCell ref="Q97:R98"/>
    <mergeCell ref="S97:S98"/>
    <mergeCell ref="B98:F98"/>
    <mergeCell ref="L98:P98"/>
    <mergeCell ref="B99:F99"/>
    <mergeCell ref="G99:H99"/>
    <mergeCell ref="L99:P99"/>
    <mergeCell ref="Q99:R99"/>
    <mergeCell ref="B97:F97"/>
    <mergeCell ref="G97:H98"/>
    <mergeCell ref="I97:I98"/>
    <mergeCell ref="L97:P97"/>
    <mergeCell ref="S93:S95"/>
    <mergeCell ref="B94:F94"/>
    <mergeCell ref="L94:P94"/>
    <mergeCell ref="A101:A104"/>
    <mergeCell ref="B101:F101"/>
    <mergeCell ref="K101:K104"/>
    <mergeCell ref="L101:P101"/>
    <mergeCell ref="B102:F102"/>
    <mergeCell ref="L102:P102"/>
    <mergeCell ref="B103:F103"/>
    <mergeCell ref="L103:P103"/>
    <mergeCell ref="B104:F104"/>
    <mergeCell ref="L104:P104"/>
    <mergeCell ref="B107:F107"/>
    <mergeCell ref="G107:H108"/>
    <mergeCell ref="I107:I108"/>
    <mergeCell ref="L107:P107"/>
    <mergeCell ref="Q107:R108"/>
    <mergeCell ref="S107:S108"/>
    <mergeCell ref="B108:F108"/>
    <mergeCell ref="L108:P108"/>
    <mergeCell ref="B105:F105"/>
    <mergeCell ref="G105:H105"/>
    <mergeCell ref="L105:P105"/>
    <mergeCell ref="Q105:R105"/>
    <mergeCell ref="B106:F106"/>
    <mergeCell ref="G106:H106"/>
    <mergeCell ref="L106:P106"/>
    <mergeCell ref="Q106:R106"/>
    <mergeCell ref="B111:F111"/>
    <mergeCell ref="G111:I111"/>
    <mergeCell ref="L111:P111"/>
    <mergeCell ref="Q111:S111"/>
    <mergeCell ref="B112:F112"/>
    <mergeCell ref="G112:I112"/>
    <mergeCell ref="L112:P112"/>
    <mergeCell ref="Q112:S112"/>
    <mergeCell ref="B109:F109"/>
    <mergeCell ref="G109:H109"/>
    <mergeCell ref="L109:P109"/>
    <mergeCell ref="Q109:R109"/>
    <mergeCell ref="B110:F110"/>
    <mergeCell ref="G110:H110"/>
    <mergeCell ref="L110:P110"/>
    <mergeCell ref="Q110:R110"/>
    <mergeCell ref="B113:F113"/>
    <mergeCell ref="G113:I113"/>
    <mergeCell ref="L113:P113"/>
    <mergeCell ref="Q113:S113"/>
    <mergeCell ref="L114:S114"/>
    <mergeCell ref="A123:A124"/>
    <mergeCell ref="B123:F124"/>
    <mergeCell ref="G123:H124"/>
    <mergeCell ref="I123:I124"/>
    <mergeCell ref="K123:K124"/>
    <mergeCell ref="L123:P124"/>
    <mergeCell ref="Q123:R124"/>
    <mergeCell ref="S123:S124"/>
    <mergeCell ref="B114:I114"/>
    <mergeCell ref="A125:A126"/>
    <mergeCell ref="B125:F126"/>
    <mergeCell ref="G125:I126"/>
    <mergeCell ref="K125:K126"/>
    <mergeCell ref="L125:P126"/>
    <mergeCell ref="Q125:S126"/>
    <mergeCell ref="B127:F127"/>
    <mergeCell ref="G127:H129"/>
    <mergeCell ref="I127:I128"/>
    <mergeCell ref="L127:P127"/>
    <mergeCell ref="Q127:R129"/>
    <mergeCell ref="S127:S128"/>
    <mergeCell ref="B128:F128"/>
    <mergeCell ref="L128:P128"/>
    <mergeCell ref="B129:F129"/>
    <mergeCell ref="L129:P129"/>
    <mergeCell ref="B134:F134"/>
    <mergeCell ref="L134:P134"/>
    <mergeCell ref="B130:F130"/>
    <mergeCell ref="G130:H130"/>
    <mergeCell ref="L130:P130"/>
    <mergeCell ref="Q130:R130"/>
    <mergeCell ref="B131:F131"/>
    <mergeCell ref="G131:H131"/>
    <mergeCell ref="L131:P131"/>
    <mergeCell ref="Q131:R131"/>
    <mergeCell ref="B132:F132"/>
    <mergeCell ref="G132:H135"/>
    <mergeCell ref="I132:I134"/>
    <mergeCell ref="L132:P132"/>
    <mergeCell ref="B139:F139"/>
    <mergeCell ref="G139:H143"/>
    <mergeCell ref="I139:I143"/>
    <mergeCell ref="L139:P139"/>
    <mergeCell ref="Q132:R135"/>
    <mergeCell ref="B135:F135"/>
    <mergeCell ref="L135:P135"/>
    <mergeCell ref="Q139:R143"/>
    <mergeCell ref="S139:S143"/>
    <mergeCell ref="Q136:R137"/>
    <mergeCell ref="S136:S137"/>
    <mergeCell ref="B137:F137"/>
    <mergeCell ref="L137:P137"/>
    <mergeCell ref="B138:F138"/>
    <mergeCell ref="G138:H138"/>
    <mergeCell ref="L138:P138"/>
    <mergeCell ref="Q138:R138"/>
    <mergeCell ref="B136:F136"/>
    <mergeCell ref="G136:H137"/>
    <mergeCell ref="I136:I137"/>
    <mergeCell ref="L136:P136"/>
    <mergeCell ref="S132:S134"/>
    <mergeCell ref="B133:F133"/>
    <mergeCell ref="L133:P133"/>
    <mergeCell ref="A140:A143"/>
    <mergeCell ref="B140:F140"/>
    <mergeCell ref="K140:K143"/>
    <mergeCell ref="L140:P140"/>
    <mergeCell ref="B141:F141"/>
    <mergeCell ref="L141:P141"/>
    <mergeCell ref="B142:F142"/>
    <mergeCell ref="L142:P142"/>
    <mergeCell ref="B143:F143"/>
    <mergeCell ref="L143:P143"/>
    <mergeCell ref="B146:F146"/>
    <mergeCell ref="G146:H147"/>
    <mergeCell ref="I146:I147"/>
    <mergeCell ref="L146:P146"/>
    <mergeCell ref="Q146:R147"/>
    <mergeCell ref="S146:S147"/>
    <mergeCell ref="B147:F147"/>
    <mergeCell ref="L147:P147"/>
    <mergeCell ref="B144:F144"/>
    <mergeCell ref="G144:H144"/>
    <mergeCell ref="L144:P144"/>
    <mergeCell ref="Q144:R144"/>
    <mergeCell ref="B145:F145"/>
    <mergeCell ref="G145:H145"/>
    <mergeCell ref="L145:P145"/>
    <mergeCell ref="Q145:R145"/>
    <mergeCell ref="B150:F150"/>
    <mergeCell ref="G150:I150"/>
    <mergeCell ref="L150:P150"/>
    <mergeCell ref="Q150:S150"/>
    <mergeCell ref="B151:F151"/>
    <mergeCell ref="G151:I151"/>
    <mergeCell ref="L151:P151"/>
    <mergeCell ref="Q151:S151"/>
    <mergeCell ref="B148:F148"/>
    <mergeCell ref="G148:H148"/>
    <mergeCell ref="L148:P148"/>
    <mergeCell ref="Q148:R148"/>
    <mergeCell ref="B149:F149"/>
    <mergeCell ref="G149:H149"/>
    <mergeCell ref="L149:P149"/>
    <mergeCell ref="Q149:R149"/>
    <mergeCell ref="B152:F152"/>
    <mergeCell ref="G152:I152"/>
    <mergeCell ref="L152:P152"/>
    <mergeCell ref="Q152:S152"/>
    <mergeCell ref="L153:S153"/>
    <mergeCell ref="A162:A163"/>
    <mergeCell ref="B162:F163"/>
    <mergeCell ref="G162:H163"/>
    <mergeCell ref="I162:I163"/>
    <mergeCell ref="K162:K163"/>
    <mergeCell ref="L162:P163"/>
    <mergeCell ref="Q162:R163"/>
    <mergeCell ref="S162:S163"/>
    <mergeCell ref="A164:A165"/>
    <mergeCell ref="B164:F165"/>
    <mergeCell ref="G164:I165"/>
    <mergeCell ref="K164:K165"/>
    <mergeCell ref="L164:P165"/>
    <mergeCell ref="Q164:S165"/>
    <mergeCell ref="B166:F166"/>
    <mergeCell ref="G166:H168"/>
    <mergeCell ref="I166:I167"/>
    <mergeCell ref="L166:P166"/>
    <mergeCell ref="Q166:R168"/>
    <mergeCell ref="S166:S167"/>
    <mergeCell ref="B167:F167"/>
    <mergeCell ref="L167:P167"/>
    <mergeCell ref="B168:F168"/>
    <mergeCell ref="L168:P168"/>
    <mergeCell ref="B173:F173"/>
    <mergeCell ref="L173:P173"/>
    <mergeCell ref="B169:F169"/>
    <mergeCell ref="G169:H169"/>
    <mergeCell ref="L169:P169"/>
    <mergeCell ref="Q169:R169"/>
    <mergeCell ref="B170:F170"/>
    <mergeCell ref="G170:H170"/>
    <mergeCell ref="L170:P170"/>
    <mergeCell ref="Q170:R170"/>
    <mergeCell ref="B171:F171"/>
    <mergeCell ref="G171:H174"/>
    <mergeCell ref="I171:I173"/>
    <mergeCell ref="L171:P171"/>
    <mergeCell ref="B178:F178"/>
    <mergeCell ref="G178:H182"/>
    <mergeCell ref="I178:I182"/>
    <mergeCell ref="L178:P178"/>
    <mergeCell ref="Q171:R174"/>
    <mergeCell ref="B174:F174"/>
    <mergeCell ref="L174:P174"/>
    <mergeCell ref="Q178:R182"/>
    <mergeCell ref="S178:S182"/>
    <mergeCell ref="Q175:R176"/>
    <mergeCell ref="S175:S176"/>
    <mergeCell ref="B176:F176"/>
    <mergeCell ref="L176:P176"/>
    <mergeCell ref="B177:F177"/>
    <mergeCell ref="G177:H177"/>
    <mergeCell ref="L177:P177"/>
    <mergeCell ref="Q177:R177"/>
    <mergeCell ref="B175:F175"/>
    <mergeCell ref="G175:H176"/>
    <mergeCell ref="I175:I176"/>
    <mergeCell ref="L175:P175"/>
    <mergeCell ref="S171:S173"/>
    <mergeCell ref="B172:F172"/>
    <mergeCell ref="L172:P172"/>
    <mergeCell ref="A179:A182"/>
    <mergeCell ref="B179:F179"/>
    <mergeCell ref="K179:K182"/>
    <mergeCell ref="L179:P179"/>
    <mergeCell ref="B180:F180"/>
    <mergeCell ref="L180:P180"/>
    <mergeCell ref="B181:F181"/>
    <mergeCell ref="L181:P181"/>
    <mergeCell ref="B182:F182"/>
    <mergeCell ref="L182:P182"/>
    <mergeCell ref="S185:S186"/>
    <mergeCell ref="B186:F186"/>
    <mergeCell ref="L186:P186"/>
    <mergeCell ref="B183:F183"/>
    <mergeCell ref="G183:H183"/>
    <mergeCell ref="L183:P183"/>
    <mergeCell ref="Q183:R183"/>
    <mergeCell ref="B184:F184"/>
    <mergeCell ref="G184:H184"/>
    <mergeCell ref="L184:P184"/>
    <mergeCell ref="Q184:R184"/>
    <mergeCell ref="B187:F187"/>
    <mergeCell ref="G187:H187"/>
    <mergeCell ref="L187:P187"/>
    <mergeCell ref="Q187:R187"/>
    <mergeCell ref="B188:F188"/>
    <mergeCell ref="G188:H188"/>
    <mergeCell ref="L188:P188"/>
    <mergeCell ref="Q188:R188"/>
    <mergeCell ref="B185:F185"/>
    <mergeCell ref="G185:H186"/>
    <mergeCell ref="I185:I186"/>
    <mergeCell ref="L185:P185"/>
    <mergeCell ref="Q185:R186"/>
    <mergeCell ref="B191:F191"/>
    <mergeCell ref="G191:I191"/>
    <mergeCell ref="L191:P191"/>
    <mergeCell ref="Q191:S191"/>
    <mergeCell ref="B192:I192"/>
    <mergeCell ref="L192:S192"/>
    <mergeCell ref="B189:F189"/>
    <mergeCell ref="G189:I189"/>
    <mergeCell ref="L189:P189"/>
    <mergeCell ref="Q189:S189"/>
    <mergeCell ref="B190:F190"/>
    <mergeCell ref="G190:I190"/>
    <mergeCell ref="L190:P190"/>
    <mergeCell ref="Q190:S190"/>
    <mergeCell ref="Q201:R202"/>
    <mergeCell ref="S201:S202"/>
    <mergeCell ref="A203:A204"/>
    <mergeCell ref="B203:F204"/>
    <mergeCell ref="G203:I204"/>
    <mergeCell ref="K203:K204"/>
    <mergeCell ref="L203:P204"/>
    <mergeCell ref="Q203:S204"/>
    <mergeCell ref="A201:A202"/>
    <mergeCell ref="B201:F202"/>
    <mergeCell ref="G201:H202"/>
    <mergeCell ref="I201:I202"/>
    <mergeCell ref="K201:K202"/>
    <mergeCell ref="L201:P202"/>
    <mergeCell ref="B205:F205"/>
    <mergeCell ref="G205:H207"/>
    <mergeCell ref="I205:I206"/>
    <mergeCell ref="L205:P205"/>
    <mergeCell ref="Q205:R207"/>
    <mergeCell ref="S205:S206"/>
    <mergeCell ref="B206:F206"/>
    <mergeCell ref="L206:P206"/>
    <mergeCell ref="B207:F207"/>
    <mergeCell ref="L207:P207"/>
    <mergeCell ref="B212:F212"/>
    <mergeCell ref="L212:P212"/>
    <mergeCell ref="B208:F208"/>
    <mergeCell ref="G208:H208"/>
    <mergeCell ref="L208:P208"/>
    <mergeCell ref="Q208:R208"/>
    <mergeCell ref="B209:F209"/>
    <mergeCell ref="G209:H209"/>
    <mergeCell ref="L209:P209"/>
    <mergeCell ref="Q209:R209"/>
    <mergeCell ref="B210:F210"/>
    <mergeCell ref="G210:H213"/>
    <mergeCell ref="I210:I212"/>
    <mergeCell ref="L210:P210"/>
    <mergeCell ref="B217:F217"/>
    <mergeCell ref="G217:H221"/>
    <mergeCell ref="I217:I221"/>
    <mergeCell ref="L217:P217"/>
    <mergeCell ref="Q210:R213"/>
    <mergeCell ref="B213:F213"/>
    <mergeCell ref="L213:P213"/>
    <mergeCell ref="Q217:R221"/>
    <mergeCell ref="S217:S221"/>
    <mergeCell ref="Q214:R215"/>
    <mergeCell ref="S214:S215"/>
    <mergeCell ref="B215:F215"/>
    <mergeCell ref="L215:P215"/>
    <mergeCell ref="B216:F216"/>
    <mergeCell ref="G216:H216"/>
    <mergeCell ref="L216:P216"/>
    <mergeCell ref="Q216:R216"/>
    <mergeCell ref="B214:F214"/>
    <mergeCell ref="G214:H215"/>
    <mergeCell ref="I214:I215"/>
    <mergeCell ref="L214:P214"/>
    <mergeCell ref="S210:S212"/>
    <mergeCell ref="B211:F211"/>
    <mergeCell ref="L211:P211"/>
    <mergeCell ref="A218:A221"/>
    <mergeCell ref="B218:F218"/>
    <mergeCell ref="K218:K221"/>
    <mergeCell ref="L218:P218"/>
    <mergeCell ref="B219:F219"/>
    <mergeCell ref="L219:P219"/>
    <mergeCell ref="B220:F220"/>
    <mergeCell ref="L220:P220"/>
    <mergeCell ref="B221:F221"/>
    <mergeCell ref="L221:P221"/>
    <mergeCell ref="B224:F224"/>
    <mergeCell ref="G224:H225"/>
    <mergeCell ref="I224:I225"/>
    <mergeCell ref="L224:P224"/>
    <mergeCell ref="Q224:R225"/>
    <mergeCell ref="S224:S225"/>
    <mergeCell ref="B225:F225"/>
    <mergeCell ref="L225:P225"/>
    <mergeCell ref="B222:F222"/>
    <mergeCell ref="G222:H222"/>
    <mergeCell ref="L222:P222"/>
    <mergeCell ref="Q222:R222"/>
    <mergeCell ref="B223:F223"/>
    <mergeCell ref="G223:H223"/>
    <mergeCell ref="L223:P223"/>
    <mergeCell ref="Q223:R223"/>
    <mergeCell ref="B228:F228"/>
    <mergeCell ref="G228:I228"/>
    <mergeCell ref="L228:P228"/>
    <mergeCell ref="Q228:S228"/>
    <mergeCell ref="B229:F229"/>
    <mergeCell ref="G229:I229"/>
    <mergeCell ref="L229:P229"/>
    <mergeCell ref="Q229:S229"/>
    <mergeCell ref="B226:F226"/>
    <mergeCell ref="G226:H226"/>
    <mergeCell ref="L226:P226"/>
    <mergeCell ref="Q226:R226"/>
    <mergeCell ref="B227:F227"/>
    <mergeCell ref="G227:H227"/>
    <mergeCell ref="L227:P227"/>
    <mergeCell ref="Q227:R227"/>
    <mergeCell ref="B230:F230"/>
    <mergeCell ref="G230:I230"/>
    <mergeCell ref="L230:P230"/>
    <mergeCell ref="Q230:S230"/>
    <mergeCell ref="B231:I231"/>
    <mergeCell ref="A239:A240"/>
    <mergeCell ref="B239:F240"/>
    <mergeCell ref="G239:H240"/>
    <mergeCell ref="I239:I240"/>
    <mergeCell ref="K239:K240"/>
    <mergeCell ref="L239:P240"/>
    <mergeCell ref="Q239:R240"/>
    <mergeCell ref="S239:S240"/>
    <mergeCell ref="A241:A242"/>
    <mergeCell ref="B241:F242"/>
    <mergeCell ref="G241:I242"/>
    <mergeCell ref="K241:K242"/>
    <mergeCell ref="L241:P242"/>
    <mergeCell ref="Q241:S242"/>
    <mergeCell ref="B243:F243"/>
    <mergeCell ref="G243:H245"/>
    <mergeCell ref="I243:I244"/>
    <mergeCell ref="L243:P243"/>
    <mergeCell ref="Q243:R245"/>
    <mergeCell ref="S243:S244"/>
    <mergeCell ref="B244:F244"/>
    <mergeCell ref="L244:P244"/>
    <mergeCell ref="B245:F245"/>
    <mergeCell ref="L245:P245"/>
    <mergeCell ref="B250:F250"/>
    <mergeCell ref="L250:P250"/>
    <mergeCell ref="B246:F246"/>
    <mergeCell ref="G246:H246"/>
    <mergeCell ref="L246:P246"/>
    <mergeCell ref="Q246:R246"/>
    <mergeCell ref="B247:F247"/>
    <mergeCell ref="G247:H247"/>
    <mergeCell ref="L247:P247"/>
    <mergeCell ref="Q247:R247"/>
    <mergeCell ref="B248:F248"/>
    <mergeCell ref="G248:H251"/>
    <mergeCell ref="I248:I250"/>
    <mergeCell ref="L248:P248"/>
    <mergeCell ref="B255:F255"/>
    <mergeCell ref="G255:H259"/>
    <mergeCell ref="I255:I259"/>
    <mergeCell ref="L255:P255"/>
    <mergeCell ref="Q248:R251"/>
    <mergeCell ref="B251:F251"/>
    <mergeCell ref="L251:P251"/>
    <mergeCell ref="Q255:R259"/>
    <mergeCell ref="S255:S259"/>
    <mergeCell ref="Q252:R253"/>
    <mergeCell ref="S252:S253"/>
    <mergeCell ref="B253:F253"/>
    <mergeCell ref="L253:P253"/>
    <mergeCell ref="B254:F254"/>
    <mergeCell ref="G254:H254"/>
    <mergeCell ref="L254:P254"/>
    <mergeCell ref="Q254:R254"/>
    <mergeCell ref="B252:F252"/>
    <mergeCell ref="G252:H253"/>
    <mergeCell ref="I252:I253"/>
    <mergeCell ref="L252:P252"/>
    <mergeCell ref="S248:S250"/>
    <mergeCell ref="B249:F249"/>
    <mergeCell ref="L249:P249"/>
    <mergeCell ref="A256:A259"/>
    <mergeCell ref="B256:F256"/>
    <mergeCell ref="K256:K259"/>
    <mergeCell ref="L256:P256"/>
    <mergeCell ref="B257:F257"/>
    <mergeCell ref="L257:P257"/>
    <mergeCell ref="B258:F258"/>
    <mergeCell ref="L258:P258"/>
    <mergeCell ref="B259:F259"/>
    <mergeCell ref="L259:P259"/>
    <mergeCell ref="S262:S263"/>
    <mergeCell ref="B263:F263"/>
    <mergeCell ref="L263:P263"/>
    <mergeCell ref="B260:F260"/>
    <mergeCell ref="G260:H260"/>
    <mergeCell ref="L260:P260"/>
    <mergeCell ref="Q260:R260"/>
    <mergeCell ref="B261:F261"/>
    <mergeCell ref="G261:H261"/>
    <mergeCell ref="L261:P261"/>
    <mergeCell ref="Q261:R261"/>
    <mergeCell ref="B264:F264"/>
    <mergeCell ref="G264:H264"/>
    <mergeCell ref="L264:P264"/>
    <mergeCell ref="Q264:R264"/>
    <mergeCell ref="B265:F265"/>
    <mergeCell ref="G265:H265"/>
    <mergeCell ref="L265:P265"/>
    <mergeCell ref="Q265:R265"/>
    <mergeCell ref="B262:F262"/>
    <mergeCell ref="G262:H263"/>
    <mergeCell ref="I262:I263"/>
    <mergeCell ref="L262:P262"/>
    <mergeCell ref="Q262:R263"/>
    <mergeCell ref="B268:F268"/>
    <mergeCell ref="G268:I268"/>
    <mergeCell ref="L268:P268"/>
    <mergeCell ref="Q268:S268"/>
    <mergeCell ref="B269:I270"/>
    <mergeCell ref="B266:F266"/>
    <mergeCell ref="G266:I266"/>
    <mergeCell ref="L266:P266"/>
    <mergeCell ref="Q266:S266"/>
    <mergeCell ref="B267:F267"/>
    <mergeCell ref="G267:I267"/>
    <mergeCell ref="L267:P267"/>
    <mergeCell ref="Q267:S267"/>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S274"/>
  <sheetViews>
    <sheetView topLeftCell="A253" zoomScale="70" zoomScaleNormal="70" workbookViewId="0">
      <selection activeCell="Q261" sqref="Q261:R261"/>
    </sheetView>
  </sheetViews>
  <sheetFormatPr defaultColWidth="9.140625" defaultRowHeight="15" x14ac:dyDescent="0.25"/>
  <cols>
    <col min="1" max="1" width="3.42578125" customWidth="1"/>
    <col min="7" max="7" width="10" customWidth="1"/>
    <col min="9" max="9" width="53.28515625" customWidth="1"/>
    <col min="10" max="10" width="0.42578125" customWidth="1"/>
    <col min="11" max="11" width="4.42578125" customWidth="1"/>
    <col min="17" max="17" width="10.28515625" customWidth="1"/>
    <col min="19" max="19" width="55.140625" customWidth="1"/>
    <col min="257" max="257" width="3.42578125" customWidth="1"/>
    <col min="263" max="263" width="10" customWidth="1"/>
    <col min="265" max="265" width="53.28515625" customWidth="1"/>
    <col min="266" max="266" width="0.42578125" customWidth="1"/>
    <col min="267" max="267" width="4.42578125" customWidth="1"/>
    <col min="273" max="273" width="10.28515625" customWidth="1"/>
    <col min="275" max="275" width="55.140625" customWidth="1"/>
    <col min="513" max="513" width="3.42578125" customWidth="1"/>
    <col min="519" max="519" width="10" customWidth="1"/>
    <col min="521" max="521" width="53.28515625" customWidth="1"/>
    <col min="522" max="522" width="0.42578125" customWidth="1"/>
    <col min="523" max="523" width="4.42578125" customWidth="1"/>
    <col min="529" max="529" width="10.28515625" customWidth="1"/>
    <col min="531" max="531" width="55.140625" customWidth="1"/>
    <col min="769" max="769" width="3.42578125" customWidth="1"/>
    <col min="775" max="775" width="10" customWidth="1"/>
    <col min="777" max="777" width="53.28515625" customWidth="1"/>
    <col min="778" max="778" width="0.42578125" customWidth="1"/>
    <col min="779" max="779" width="4.42578125" customWidth="1"/>
    <col min="785" max="785" width="10.28515625" customWidth="1"/>
    <col min="787" max="787" width="55.140625" customWidth="1"/>
    <col min="1025" max="1025" width="3.42578125" customWidth="1"/>
    <col min="1031" max="1031" width="10" customWidth="1"/>
    <col min="1033" max="1033" width="53.28515625" customWidth="1"/>
    <col min="1034" max="1034" width="0.42578125" customWidth="1"/>
    <col min="1035" max="1035" width="4.42578125" customWidth="1"/>
    <col min="1041" max="1041" width="10.28515625" customWidth="1"/>
    <col min="1043" max="1043" width="55.140625" customWidth="1"/>
    <col min="1281" max="1281" width="3.42578125" customWidth="1"/>
    <col min="1287" max="1287" width="10" customWidth="1"/>
    <col min="1289" max="1289" width="53.28515625" customWidth="1"/>
    <col min="1290" max="1290" width="0.42578125" customWidth="1"/>
    <col min="1291" max="1291" width="4.42578125" customWidth="1"/>
    <col min="1297" max="1297" width="10.28515625" customWidth="1"/>
    <col min="1299" max="1299" width="55.140625" customWidth="1"/>
    <col min="1537" max="1537" width="3.42578125" customWidth="1"/>
    <col min="1543" max="1543" width="10" customWidth="1"/>
    <col min="1545" max="1545" width="53.28515625" customWidth="1"/>
    <col min="1546" max="1546" width="0.42578125" customWidth="1"/>
    <col min="1547" max="1547" width="4.42578125" customWidth="1"/>
    <col min="1553" max="1553" width="10.28515625" customWidth="1"/>
    <col min="1555" max="1555" width="55.140625" customWidth="1"/>
    <col min="1793" max="1793" width="3.42578125" customWidth="1"/>
    <col min="1799" max="1799" width="10" customWidth="1"/>
    <col min="1801" max="1801" width="53.28515625" customWidth="1"/>
    <col min="1802" max="1802" width="0.42578125" customWidth="1"/>
    <col min="1803" max="1803" width="4.42578125" customWidth="1"/>
    <col min="1809" max="1809" width="10.28515625" customWidth="1"/>
    <col min="1811" max="1811" width="55.140625" customWidth="1"/>
    <col min="2049" max="2049" width="3.42578125" customWidth="1"/>
    <col min="2055" max="2055" width="10" customWidth="1"/>
    <col min="2057" max="2057" width="53.28515625" customWidth="1"/>
    <col min="2058" max="2058" width="0.42578125" customWidth="1"/>
    <col min="2059" max="2059" width="4.42578125" customWidth="1"/>
    <col min="2065" max="2065" width="10.28515625" customWidth="1"/>
    <col min="2067" max="2067" width="55.140625" customWidth="1"/>
    <col min="2305" max="2305" width="3.42578125" customWidth="1"/>
    <col min="2311" max="2311" width="10" customWidth="1"/>
    <col min="2313" max="2313" width="53.28515625" customWidth="1"/>
    <col min="2314" max="2314" width="0.42578125" customWidth="1"/>
    <col min="2315" max="2315" width="4.42578125" customWidth="1"/>
    <col min="2321" max="2321" width="10.28515625" customWidth="1"/>
    <col min="2323" max="2323" width="55.140625" customWidth="1"/>
    <col min="2561" max="2561" width="3.42578125" customWidth="1"/>
    <col min="2567" max="2567" width="10" customWidth="1"/>
    <col min="2569" max="2569" width="53.28515625" customWidth="1"/>
    <col min="2570" max="2570" width="0.42578125" customWidth="1"/>
    <col min="2571" max="2571" width="4.42578125" customWidth="1"/>
    <col min="2577" max="2577" width="10.28515625" customWidth="1"/>
    <col min="2579" max="2579" width="55.140625" customWidth="1"/>
    <col min="2817" max="2817" width="3.42578125" customWidth="1"/>
    <col min="2823" max="2823" width="10" customWidth="1"/>
    <col min="2825" max="2825" width="53.28515625" customWidth="1"/>
    <col min="2826" max="2826" width="0.42578125" customWidth="1"/>
    <col min="2827" max="2827" width="4.42578125" customWidth="1"/>
    <col min="2833" max="2833" width="10.28515625" customWidth="1"/>
    <col min="2835" max="2835" width="55.140625" customWidth="1"/>
    <col min="3073" max="3073" width="3.42578125" customWidth="1"/>
    <col min="3079" max="3079" width="10" customWidth="1"/>
    <col min="3081" max="3081" width="53.28515625" customWidth="1"/>
    <col min="3082" max="3082" width="0.42578125" customWidth="1"/>
    <col min="3083" max="3083" width="4.42578125" customWidth="1"/>
    <col min="3089" max="3089" width="10.28515625" customWidth="1"/>
    <col min="3091" max="3091" width="55.140625" customWidth="1"/>
    <col min="3329" max="3329" width="3.42578125" customWidth="1"/>
    <col min="3335" max="3335" width="10" customWidth="1"/>
    <col min="3337" max="3337" width="53.28515625" customWidth="1"/>
    <col min="3338" max="3338" width="0.42578125" customWidth="1"/>
    <col min="3339" max="3339" width="4.42578125" customWidth="1"/>
    <col min="3345" max="3345" width="10.28515625" customWidth="1"/>
    <col min="3347" max="3347" width="55.140625" customWidth="1"/>
    <col min="3585" max="3585" width="3.42578125" customWidth="1"/>
    <col min="3591" max="3591" width="10" customWidth="1"/>
    <col min="3593" max="3593" width="53.28515625" customWidth="1"/>
    <col min="3594" max="3594" width="0.42578125" customWidth="1"/>
    <col min="3595" max="3595" width="4.42578125" customWidth="1"/>
    <col min="3601" max="3601" width="10.28515625" customWidth="1"/>
    <col min="3603" max="3603" width="55.140625" customWidth="1"/>
    <col min="3841" max="3841" width="3.42578125" customWidth="1"/>
    <col min="3847" max="3847" width="10" customWidth="1"/>
    <col min="3849" max="3849" width="53.28515625" customWidth="1"/>
    <col min="3850" max="3850" width="0.42578125" customWidth="1"/>
    <col min="3851" max="3851" width="4.42578125" customWidth="1"/>
    <col min="3857" max="3857" width="10.28515625" customWidth="1"/>
    <col min="3859" max="3859" width="55.140625" customWidth="1"/>
    <col min="4097" max="4097" width="3.42578125" customWidth="1"/>
    <col min="4103" max="4103" width="10" customWidth="1"/>
    <col min="4105" max="4105" width="53.28515625" customWidth="1"/>
    <col min="4106" max="4106" width="0.42578125" customWidth="1"/>
    <col min="4107" max="4107" width="4.42578125" customWidth="1"/>
    <col min="4113" max="4113" width="10.28515625" customWidth="1"/>
    <col min="4115" max="4115" width="55.140625" customWidth="1"/>
    <col min="4353" max="4353" width="3.42578125" customWidth="1"/>
    <col min="4359" max="4359" width="10" customWidth="1"/>
    <col min="4361" max="4361" width="53.28515625" customWidth="1"/>
    <col min="4362" max="4362" width="0.42578125" customWidth="1"/>
    <col min="4363" max="4363" width="4.42578125" customWidth="1"/>
    <col min="4369" max="4369" width="10.28515625" customWidth="1"/>
    <col min="4371" max="4371" width="55.140625" customWidth="1"/>
    <col min="4609" max="4609" width="3.42578125" customWidth="1"/>
    <col min="4615" max="4615" width="10" customWidth="1"/>
    <col min="4617" max="4617" width="53.28515625" customWidth="1"/>
    <col min="4618" max="4618" width="0.42578125" customWidth="1"/>
    <col min="4619" max="4619" width="4.42578125" customWidth="1"/>
    <col min="4625" max="4625" width="10.28515625" customWidth="1"/>
    <col min="4627" max="4627" width="55.140625" customWidth="1"/>
    <col min="4865" max="4865" width="3.42578125" customWidth="1"/>
    <col min="4871" max="4871" width="10" customWidth="1"/>
    <col min="4873" max="4873" width="53.28515625" customWidth="1"/>
    <col min="4874" max="4874" width="0.42578125" customWidth="1"/>
    <col min="4875" max="4875" width="4.42578125" customWidth="1"/>
    <col min="4881" max="4881" width="10.28515625" customWidth="1"/>
    <col min="4883" max="4883" width="55.140625" customWidth="1"/>
    <col min="5121" max="5121" width="3.42578125" customWidth="1"/>
    <col min="5127" max="5127" width="10" customWidth="1"/>
    <col min="5129" max="5129" width="53.28515625" customWidth="1"/>
    <col min="5130" max="5130" width="0.42578125" customWidth="1"/>
    <col min="5131" max="5131" width="4.42578125" customWidth="1"/>
    <col min="5137" max="5137" width="10.28515625" customWidth="1"/>
    <col min="5139" max="5139" width="55.140625" customWidth="1"/>
    <col min="5377" max="5377" width="3.42578125" customWidth="1"/>
    <col min="5383" max="5383" width="10" customWidth="1"/>
    <col min="5385" max="5385" width="53.28515625" customWidth="1"/>
    <col min="5386" max="5386" width="0.42578125" customWidth="1"/>
    <col min="5387" max="5387" width="4.42578125" customWidth="1"/>
    <col min="5393" max="5393" width="10.28515625" customWidth="1"/>
    <col min="5395" max="5395" width="55.140625" customWidth="1"/>
    <col min="5633" max="5633" width="3.42578125" customWidth="1"/>
    <col min="5639" max="5639" width="10" customWidth="1"/>
    <col min="5641" max="5641" width="53.28515625" customWidth="1"/>
    <col min="5642" max="5642" width="0.42578125" customWidth="1"/>
    <col min="5643" max="5643" width="4.42578125" customWidth="1"/>
    <col min="5649" max="5649" width="10.28515625" customWidth="1"/>
    <col min="5651" max="5651" width="55.140625" customWidth="1"/>
    <col min="5889" max="5889" width="3.42578125" customWidth="1"/>
    <col min="5895" max="5895" width="10" customWidth="1"/>
    <col min="5897" max="5897" width="53.28515625" customWidth="1"/>
    <col min="5898" max="5898" width="0.42578125" customWidth="1"/>
    <col min="5899" max="5899" width="4.42578125" customWidth="1"/>
    <col min="5905" max="5905" width="10.28515625" customWidth="1"/>
    <col min="5907" max="5907" width="55.140625" customWidth="1"/>
    <col min="6145" max="6145" width="3.42578125" customWidth="1"/>
    <col min="6151" max="6151" width="10" customWidth="1"/>
    <col min="6153" max="6153" width="53.28515625" customWidth="1"/>
    <col min="6154" max="6154" width="0.42578125" customWidth="1"/>
    <col min="6155" max="6155" width="4.42578125" customWidth="1"/>
    <col min="6161" max="6161" width="10.28515625" customWidth="1"/>
    <col min="6163" max="6163" width="55.140625" customWidth="1"/>
    <col min="6401" max="6401" width="3.42578125" customWidth="1"/>
    <col min="6407" max="6407" width="10" customWidth="1"/>
    <col min="6409" max="6409" width="53.28515625" customWidth="1"/>
    <col min="6410" max="6410" width="0.42578125" customWidth="1"/>
    <col min="6411" max="6411" width="4.42578125" customWidth="1"/>
    <col min="6417" max="6417" width="10.28515625" customWidth="1"/>
    <col min="6419" max="6419" width="55.140625" customWidth="1"/>
    <col min="6657" max="6657" width="3.42578125" customWidth="1"/>
    <col min="6663" max="6663" width="10" customWidth="1"/>
    <col min="6665" max="6665" width="53.28515625" customWidth="1"/>
    <col min="6666" max="6666" width="0.42578125" customWidth="1"/>
    <col min="6667" max="6667" width="4.42578125" customWidth="1"/>
    <col min="6673" max="6673" width="10.28515625" customWidth="1"/>
    <col min="6675" max="6675" width="55.140625" customWidth="1"/>
    <col min="6913" max="6913" width="3.42578125" customWidth="1"/>
    <col min="6919" max="6919" width="10" customWidth="1"/>
    <col min="6921" max="6921" width="53.28515625" customWidth="1"/>
    <col min="6922" max="6922" width="0.42578125" customWidth="1"/>
    <col min="6923" max="6923" width="4.42578125" customWidth="1"/>
    <col min="6929" max="6929" width="10.28515625" customWidth="1"/>
    <col min="6931" max="6931" width="55.140625" customWidth="1"/>
    <col min="7169" max="7169" width="3.42578125" customWidth="1"/>
    <col min="7175" max="7175" width="10" customWidth="1"/>
    <col min="7177" max="7177" width="53.28515625" customWidth="1"/>
    <col min="7178" max="7178" width="0.42578125" customWidth="1"/>
    <col min="7179" max="7179" width="4.42578125" customWidth="1"/>
    <col min="7185" max="7185" width="10.28515625" customWidth="1"/>
    <col min="7187" max="7187" width="55.140625" customWidth="1"/>
    <col min="7425" max="7425" width="3.42578125" customWidth="1"/>
    <col min="7431" max="7431" width="10" customWidth="1"/>
    <col min="7433" max="7433" width="53.28515625" customWidth="1"/>
    <col min="7434" max="7434" width="0.42578125" customWidth="1"/>
    <col min="7435" max="7435" width="4.42578125" customWidth="1"/>
    <col min="7441" max="7441" width="10.28515625" customWidth="1"/>
    <col min="7443" max="7443" width="55.140625" customWidth="1"/>
    <col min="7681" max="7681" width="3.42578125" customWidth="1"/>
    <col min="7687" max="7687" width="10" customWidth="1"/>
    <col min="7689" max="7689" width="53.28515625" customWidth="1"/>
    <col min="7690" max="7690" width="0.42578125" customWidth="1"/>
    <col min="7691" max="7691" width="4.42578125" customWidth="1"/>
    <col min="7697" max="7697" width="10.28515625" customWidth="1"/>
    <col min="7699" max="7699" width="55.140625" customWidth="1"/>
    <col min="7937" max="7937" width="3.42578125" customWidth="1"/>
    <col min="7943" max="7943" width="10" customWidth="1"/>
    <col min="7945" max="7945" width="53.28515625" customWidth="1"/>
    <col min="7946" max="7946" width="0.42578125" customWidth="1"/>
    <col min="7947" max="7947" width="4.42578125" customWidth="1"/>
    <col min="7953" max="7953" width="10.28515625" customWidth="1"/>
    <col min="7955" max="7955" width="55.140625" customWidth="1"/>
    <col min="8193" max="8193" width="3.42578125" customWidth="1"/>
    <col min="8199" max="8199" width="10" customWidth="1"/>
    <col min="8201" max="8201" width="53.28515625" customWidth="1"/>
    <col min="8202" max="8202" width="0.42578125" customWidth="1"/>
    <col min="8203" max="8203" width="4.42578125" customWidth="1"/>
    <col min="8209" max="8209" width="10.28515625" customWidth="1"/>
    <col min="8211" max="8211" width="55.140625" customWidth="1"/>
    <col min="8449" max="8449" width="3.42578125" customWidth="1"/>
    <col min="8455" max="8455" width="10" customWidth="1"/>
    <col min="8457" max="8457" width="53.28515625" customWidth="1"/>
    <col min="8458" max="8458" width="0.42578125" customWidth="1"/>
    <col min="8459" max="8459" width="4.42578125" customWidth="1"/>
    <col min="8465" max="8465" width="10.28515625" customWidth="1"/>
    <col min="8467" max="8467" width="55.140625" customWidth="1"/>
    <col min="8705" max="8705" width="3.42578125" customWidth="1"/>
    <col min="8711" max="8711" width="10" customWidth="1"/>
    <col min="8713" max="8713" width="53.28515625" customWidth="1"/>
    <col min="8714" max="8714" width="0.42578125" customWidth="1"/>
    <col min="8715" max="8715" width="4.42578125" customWidth="1"/>
    <col min="8721" max="8721" width="10.28515625" customWidth="1"/>
    <col min="8723" max="8723" width="55.140625" customWidth="1"/>
    <col min="8961" max="8961" width="3.42578125" customWidth="1"/>
    <col min="8967" max="8967" width="10" customWidth="1"/>
    <col min="8969" max="8969" width="53.28515625" customWidth="1"/>
    <col min="8970" max="8970" width="0.42578125" customWidth="1"/>
    <col min="8971" max="8971" width="4.42578125" customWidth="1"/>
    <col min="8977" max="8977" width="10.28515625" customWidth="1"/>
    <col min="8979" max="8979" width="55.140625" customWidth="1"/>
    <col min="9217" max="9217" width="3.42578125" customWidth="1"/>
    <col min="9223" max="9223" width="10" customWidth="1"/>
    <col min="9225" max="9225" width="53.28515625" customWidth="1"/>
    <col min="9226" max="9226" width="0.42578125" customWidth="1"/>
    <col min="9227" max="9227" width="4.42578125" customWidth="1"/>
    <col min="9233" max="9233" width="10.28515625" customWidth="1"/>
    <col min="9235" max="9235" width="55.140625" customWidth="1"/>
    <col min="9473" max="9473" width="3.42578125" customWidth="1"/>
    <col min="9479" max="9479" width="10" customWidth="1"/>
    <col min="9481" max="9481" width="53.28515625" customWidth="1"/>
    <col min="9482" max="9482" width="0.42578125" customWidth="1"/>
    <col min="9483" max="9483" width="4.42578125" customWidth="1"/>
    <col min="9489" max="9489" width="10.28515625" customWidth="1"/>
    <col min="9491" max="9491" width="55.140625" customWidth="1"/>
    <col min="9729" max="9729" width="3.42578125" customWidth="1"/>
    <col min="9735" max="9735" width="10" customWidth="1"/>
    <col min="9737" max="9737" width="53.28515625" customWidth="1"/>
    <col min="9738" max="9738" width="0.42578125" customWidth="1"/>
    <col min="9739" max="9739" width="4.42578125" customWidth="1"/>
    <col min="9745" max="9745" width="10.28515625" customWidth="1"/>
    <col min="9747" max="9747" width="55.140625" customWidth="1"/>
    <col min="9985" max="9985" width="3.42578125" customWidth="1"/>
    <col min="9991" max="9991" width="10" customWidth="1"/>
    <col min="9993" max="9993" width="53.28515625" customWidth="1"/>
    <col min="9994" max="9994" width="0.42578125" customWidth="1"/>
    <col min="9995" max="9995" width="4.42578125" customWidth="1"/>
    <col min="10001" max="10001" width="10.28515625" customWidth="1"/>
    <col min="10003" max="10003" width="55.140625" customWidth="1"/>
    <col min="10241" max="10241" width="3.42578125" customWidth="1"/>
    <col min="10247" max="10247" width="10" customWidth="1"/>
    <col min="10249" max="10249" width="53.28515625" customWidth="1"/>
    <col min="10250" max="10250" width="0.42578125" customWidth="1"/>
    <col min="10251" max="10251" width="4.42578125" customWidth="1"/>
    <col min="10257" max="10257" width="10.28515625" customWidth="1"/>
    <col min="10259" max="10259" width="55.140625" customWidth="1"/>
    <col min="10497" max="10497" width="3.42578125" customWidth="1"/>
    <col min="10503" max="10503" width="10" customWidth="1"/>
    <col min="10505" max="10505" width="53.28515625" customWidth="1"/>
    <col min="10506" max="10506" width="0.42578125" customWidth="1"/>
    <col min="10507" max="10507" width="4.42578125" customWidth="1"/>
    <col min="10513" max="10513" width="10.28515625" customWidth="1"/>
    <col min="10515" max="10515" width="55.140625" customWidth="1"/>
    <col min="10753" max="10753" width="3.42578125" customWidth="1"/>
    <col min="10759" max="10759" width="10" customWidth="1"/>
    <col min="10761" max="10761" width="53.28515625" customWidth="1"/>
    <col min="10762" max="10762" width="0.42578125" customWidth="1"/>
    <col min="10763" max="10763" width="4.42578125" customWidth="1"/>
    <col min="10769" max="10769" width="10.28515625" customWidth="1"/>
    <col min="10771" max="10771" width="55.140625" customWidth="1"/>
    <col min="11009" max="11009" width="3.42578125" customWidth="1"/>
    <col min="11015" max="11015" width="10" customWidth="1"/>
    <col min="11017" max="11017" width="53.28515625" customWidth="1"/>
    <col min="11018" max="11018" width="0.42578125" customWidth="1"/>
    <col min="11019" max="11019" width="4.42578125" customWidth="1"/>
    <col min="11025" max="11025" width="10.28515625" customWidth="1"/>
    <col min="11027" max="11027" width="55.140625" customWidth="1"/>
    <col min="11265" max="11265" width="3.42578125" customWidth="1"/>
    <col min="11271" max="11271" width="10" customWidth="1"/>
    <col min="11273" max="11273" width="53.28515625" customWidth="1"/>
    <col min="11274" max="11274" width="0.42578125" customWidth="1"/>
    <col min="11275" max="11275" width="4.42578125" customWidth="1"/>
    <col min="11281" max="11281" width="10.28515625" customWidth="1"/>
    <col min="11283" max="11283" width="55.140625" customWidth="1"/>
    <col min="11521" max="11521" width="3.42578125" customWidth="1"/>
    <col min="11527" max="11527" width="10" customWidth="1"/>
    <col min="11529" max="11529" width="53.28515625" customWidth="1"/>
    <col min="11530" max="11530" width="0.42578125" customWidth="1"/>
    <col min="11531" max="11531" width="4.42578125" customWidth="1"/>
    <col min="11537" max="11537" width="10.28515625" customWidth="1"/>
    <col min="11539" max="11539" width="55.140625" customWidth="1"/>
    <col min="11777" max="11777" width="3.42578125" customWidth="1"/>
    <col min="11783" max="11783" width="10" customWidth="1"/>
    <col min="11785" max="11785" width="53.28515625" customWidth="1"/>
    <col min="11786" max="11786" width="0.42578125" customWidth="1"/>
    <col min="11787" max="11787" width="4.42578125" customWidth="1"/>
    <col min="11793" max="11793" width="10.28515625" customWidth="1"/>
    <col min="11795" max="11795" width="55.140625" customWidth="1"/>
    <col min="12033" max="12033" width="3.42578125" customWidth="1"/>
    <col min="12039" max="12039" width="10" customWidth="1"/>
    <col min="12041" max="12041" width="53.28515625" customWidth="1"/>
    <col min="12042" max="12042" width="0.42578125" customWidth="1"/>
    <col min="12043" max="12043" width="4.42578125" customWidth="1"/>
    <col min="12049" max="12049" width="10.28515625" customWidth="1"/>
    <col min="12051" max="12051" width="55.140625" customWidth="1"/>
    <col min="12289" max="12289" width="3.42578125" customWidth="1"/>
    <col min="12295" max="12295" width="10" customWidth="1"/>
    <col min="12297" max="12297" width="53.28515625" customWidth="1"/>
    <col min="12298" max="12298" width="0.42578125" customWidth="1"/>
    <col min="12299" max="12299" width="4.42578125" customWidth="1"/>
    <col min="12305" max="12305" width="10.28515625" customWidth="1"/>
    <col min="12307" max="12307" width="55.140625" customWidth="1"/>
    <col min="12545" max="12545" width="3.42578125" customWidth="1"/>
    <col min="12551" max="12551" width="10" customWidth="1"/>
    <col min="12553" max="12553" width="53.28515625" customWidth="1"/>
    <col min="12554" max="12554" width="0.42578125" customWidth="1"/>
    <col min="12555" max="12555" width="4.42578125" customWidth="1"/>
    <col min="12561" max="12561" width="10.28515625" customWidth="1"/>
    <col min="12563" max="12563" width="55.140625" customWidth="1"/>
    <col min="12801" max="12801" width="3.42578125" customWidth="1"/>
    <col min="12807" max="12807" width="10" customWidth="1"/>
    <col min="12809" max="12809" width="53.28515625" customWidth="1"/>
    <col min="12810" max="12810" width="0.42578125" customWidth="1"/>
    <col min="12811" max="12811" width="4.42578125" customWidth="1"/>
    <col min="12817" max="12817" width="10.28515625" customWidth="1"/>
    <col min="12819" max="12819" width="55.140625" customWidth="1"/>
    <col min="13057" max="13057" width="3.42578125" customWidth="1"/>
    <col min="13063" max="13063" width="10" customWidth="1"/>
    <col min="13065" max="13065" width="53.28515625" customWidth="1"/>
    <col min="13066" max="13066" width="0.42578125" customWidth="1"/>
    <col min="13067" max="13067" width="4.42578125" customWidth="1"/>
    <col min="13073" max="13073" width="10.28515625" customWidth="1"/>
    <col min="13075" max="13075" width="55.140625" customWidth="1"/>
    <col min="13313" max="13313" width="3.42578125" customWidth="1"/>
    <col min="13319" max="13319" width="10" customWidth="1"/>
    <col min="13321" max="13321" width="53.28515625" customWidth="1"/>
    <col min="13322" max="13322" width="0.42578125" customWidth="1"/>
    <col min="13323" max="13323" width="4.42578125" customWidth="1"/>
    <col min="13329" max="13329" width="10.28515625" customWidth="1"/>
    <col min="13331" max="13331" width="55.140625" customWidth="1"/>
    <col min="13569" max="13569" width="3.42578125" customWidth="1"/>
    <col min="13575" max="13575" width="10" customWidth="1"/>
    <col min="13577" max="13577" width="53.28515625" customWidth="1"/>
    <col min="13578" max="13578" width="0.42578125" customWidth="1"/>
    <col min="13579" max="13579" width="4.42578125" customWidth="1"/>
    <col min="13585" max="13585" width="10.28515625" customWidth="1"/>
    <col min="13587" max="13587" width="55.140625" customWidth="1"/>
    <col min="13825" max="13825" width="3.42578125" customWidth="1"/>
    <col min="13831" max="13831" width="10" customWidth="1"/>
    <col min="13833" max="13833" width="53.28515625" customWidth="1"/>
    <col min="13834" max="13834" width="0.42578125" customWidth="1"/>
    <col min="13835" max="13835" width="4.42578125" customWidth="1"/>
    <col min="13841" max="13841" width="10.28515625" customWidth="1"/>
    <col min="13843" max="13843" width="55.140625" customWidth="1"/>
    <col min="14081" max="14081" width="3.42578125" customWidth="1"/>
    <col min="14087" max="14087" width="10" customWidth="1"/>
    <col min="14089" max="14089" width="53.28515625" customWidth="1"/>
    <col min="14090" max="14090" width="0.42578125" customWidth="1"/>
    <col min="14091" max="14091" width="4.42578125" customWidth="1"/>
    <col min="14097" max="14097" width="10.28515625" customWidth="1"/>
    <col min="14099" max="14099" width="55.140625" customWidth="1"/>
    <col min="14337" max="14337" width="3.42578125" customWidth="1"/>
    <col min="14343" max="14343" width="10" customWidth="1"/>
    <col min="14345" max="14345" width="53.28515625" customWidth="1"/>
    <col min="14346" max="14346" width="0.42578125" customWidth="1"/>
    <col min="14347" max="14347" width="4.42578125" customWidth="1"/>
    <col min="14353" max="14353" width="10.28515625" customWidth="1"/>
    <col min="14355" max="14355" width="55.140625" customWidth="1"/>
    <col min="14593" max="14593" width="3.42578125" customWidth="1"/>
    <col min="14599" max="14599" width="10" customWidth="1"/>
    <col min="14601" max="14601" width="53.28515625" customWidth="1"/>
    <col min="14602" max="14602" width="0.42578125" customWidth="1"/>
    <col min="14603" max="14603" width="4.42578125" customWidth="1"/>
    <col min="14609" max="14609" width="10.28515625" customWidth="1"/>
    <col min="14611" max="14611" width="55.140625" customWidth="1"/>
    <col min="14849" max="14849" width="3.42578125" customWidth="1"/>
    <col min="14855" max="14855" width="10" customWidth="1"/>
    <col min="14857" max="14857" width="53.28515625" customWidth="1"/>
    <col min="14858" max="14858" width="0.42578125" customWidth="1"/>
    <col min="14859" max="14859" width="4.42578125" customWidth="1"/>
    <col min="14865" max="14865" width="10.28515625" customWidth="1"/>
    <col min="14867" max="14867" width="55.140625" customWidth="1"/>
    <col min="15105" max="15105" width="3.42578125" customWidth="1"/>
    <col min="15111" max="15111" width="10" customWidth="1"/>
    <col min="15113" max="15113" width="53.28515625" customWidth="1"/>
    <col min="15114" max="15114" width="0.42578125" customWidth="1"/>
    <col min="15115" max="15115" width="4.42578125" customWidth="1"/>
    <col min="15121" max="15121" width="10.28515625" customWidth="1"/>
    <col min="15123" max="15123" width="55.140625" customWidth="1"/>
    <col min="15361" max="15361" width="3.42578125" customWidth="1"/>
    <col min="15367" max="15367" width="10" customWidth="1"/>
    <col min="15369" max="15369" width="53.28515625" customWidth="1"/>
    <col min="15370" max="15370" width="0.42578125" customWidth="1"/>
    <col min="15371" max="15371" width="4.42578125" customWidth="1"/>
    <col min="15377" max="15377" width="10.28515625" customWidth="1"/>
    <col min="15379" max="15379" width="55.140625" customWidth="1"/>
    <col min="15617" max="15617" width="3.42578125" customWidth="1"/>
    <col min="15623" max="15623" width="10" customWidth="1"/>
    <col min="15625" max="15625" width="53.28515625" customWidth="1"/>
    <col min="15626" max="15626" width="0.42578125" customWidth="1"/>
    <col min="15627" max="15627" width="4.42578125" customWidth="1"/>
    <col min="15633" max="15633" width="10.28515625" customWidth="1"/>
    <col min="15635" max="15635" width="55.140625" customWidth="1"/>
    <col min="15873" max="15873" width="3.42578125" customWidth="1"/>
    <col min="15879" max="15879" width="10" customWidth="1"/>
    <col min="15881" max="15881" width="53.28515625" customWidth="1"/>
    <col min="15882" max="15882" width="0.42578125" customWidth="1"/>
    <col min="15883" max="15883" width="4.42578125" customWidth="1"/>
    <col min="15889" max="15889" width="10.28515625" customWidth="1"/>
    <col min="15891" max="15891" width="55.140625" customWidth="1"/>
    <col min="16129" max="16129" width="3.42578125" customWidth="1"/>
    <col min="16135" max="16135" width="10" customWidth="1"/>
    <col min="16137" max="16137" width="53.28515625" customWidth="1"/>
    <col min="16138" max="16138" width="0.42578125" customWidth="1"/>
    <col min="16139" max="16139" width="4.42578125" customWidth="1"/>
    <col min="16145" max="16145" width="10.28515625" customWidth="1"/>
    <col min="16147" max="16147" width="55.14062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389</v>
      </c>
      <c r="E2" s="3"/>
      <c r="F2" s="3"/>
      <c r="G2" s="3"/>
      <c r="H2" s="3"/>
      <c r="I2" s="3"/>
      <c r="K2" s="3" t="s">
        <v>205</v>
      </c>
      <c r="L2" s="3"/>
      <c r="M2" s="3"/>
      <c r="N2" s="3" t="s">
        <v>390</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2750.4</v>
      </c>
      <c r="G4" s="3" t="s">
        <v>207</v>
      </c>
      <c r="H4" s="3"/>
      <c r="I4" s="3"/>
      <c r="J4" s="3"/>
      <c r="K4" s="3"/>
      <c r="L4" s="5" t="s">
        <v>206</v>
      </c>
      <c r="M4" s="3"/>
      <c r="N4" s="3"/>
      <c r="O4" s="3"/>
      <c r="P4" s="3">
        <v>2566.8000000000002</v>
      </c>
      <c r="Q4" s="3" t="s">
        <v>207</v>
      </c>
      <c r="R4" s="3"/>
      <c r="S4" s="3"/>
    </row>
    <row r="5" spans="1:19" ht="15" customHeight="1" x14ac:dyDescent="0.25">
      <c r="A5" s="175" t="s">
        <v>209</v>
      </c>
      <c r="B5" s="177" t="s">
        <v>210</v>
      </c>
      <c r="C5" s="178"/>
      <c r="D5" s="178"/>
      <c r="E5" s="178"/>
      <c r="F5" s="178"/>
      <c r="G5" s="180" t="s">
        <v>441</v>
      </c>
      <c r="H5" s="181"/>
      <c r="I5" s="175" t="s">
        <v>212</v>
      </c>
      <c r="J5" s="31"/>
      <c r="K5" s="175" t="s">
        <v>209</v>
      </c>
      <c r="L5" s="177" t="s">
        <v>210</v>
      </c>
      <c r="M5" s="178"/>
      <c r="N5" s="178"/>
      <c r="O5" s="178"/>
      <c r="P5" s="178"/>
      <c r="Q5" s="180" t="s">
        <v>441</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61975.88</v>
      </c>
      <c r="H7" s="191"/>
      <c r="I7" s="192"/>
      <c r="J7" s="33"/>
      <c r="K7" s="185" t="s">
        <v>213</v>
      </c>
      <c r="L7" s="187" t="s">
        <v>354</v>
      </c>
      <c r="M7" s="188"/>
      <c r="N7" s="188"/>
      <c r="O7" s="188"/>
      <c r="P7" s="188"/>
      <c r="Q7" s="190">
        <v>23129.18</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1.19*12*F4</f>
        <v>39275.712</v>
      </c>
      <c r="H9" s="164"/>
      <c r="I9" s="169" t="s">
        <v>215</v>
      </c>
      <c r="J9" s="35"/>
      <c r="K9" s="6"/>
      <c r="L9" s="161" t="s">
        <v>214</v>
      </c>
      <c r="M9" s="162"/>
      <c r="N9" s="162"/>
      <c r="O9" s="162"/>
      <c r="P9" s="162"/>
      <c r="Q9" s="163">
        <f>0.93*12*P4</f>
        <v>28645.488000000001</v>
      </c>
      <c r="R9" s="164"/>
      <c r="S9" s="169" t="s">
        <v>215</v>
      </c>
    </row>
    <row r="10" spans="1:19" ht="29.2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3.5"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13.5" customHeight="1" thickBot="1" x14ac:dyDescent="0.3">
      <c r="A13" s="7"/>
      <c r="B13" s="141" t="s">
        <v>221</v>
      </c>
      <c r="C13" s="142"/>
      <c r="D13" s="142"/>
      <c r="E13" s="142"/>
      <c r="F13" s="142"/>
      <c r="G13" s="143">
        <f>0.4*12*F4</f>
        <v>13201.920000000002</v>
      </c>
      <c r="H13" s="144"/>
      <c r="I13" s="8" t="s">
        <v>222</v>
      </c>
      <c r="J13" s="38"/>
      <c r="K13" s="7"/>
      <c r="L13" s="141" t="s">
        <v>221</v>
      </c>
      <c r="M13" s="142"/>
      <c r="N13" s="142"/>
      <c r="O13" s="142"/>
      <c r="P13" s="142"/>
      <c r="Q13" s="143">
        <f>0.4*12*P4</f>
        <v>12320.640000000003</v>
      </c>
      <c r="R13" s="144"/>
      <c r="S13" s="8" t="s">
        <v>222</v>
      </c>
    </row>
    <row r="14" spans="1:19" ht="13.5" customHeight="1" x14ac:dyDescent="0.25">
      <c r="A14" s="9"/>
      <c r="B14" s="145" t="s">
        <v>223</v>
      </c>
      <c r="C14" s="146"/>
      <c r="D14" s="146"/>
      <c r="E14" s="146"/>
      <c r="F14" s="146"/>
      <c r="G14" s="86">
        <f>1.68*12*F4</f>
        <v>55448.064000000006</v>
      </c>
      <c r="H14" s="147"/>
      <c r="I14" s="152" t="s">
        <v>224</v>
      </c>
      <c r="J14" s="38"/>
      <c r="K14" s="9"/>
      <c r="L14" s="145" t="s">
        <v>223</v>
      </c>
      <c r="M14" s="146"/>
      <c r="N14" s="146"/>
      <c r="O14" s="146"/>
      <c r="P14" s="146"/>
      <c r="Q14" s="86">
        <f>1.33*12*P4</f>
        <v>40966.128000000004</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0.04*12*F4</f>
        <v>1320.192</v>
      </c>
      <c r="H18" s="87"/>
      <c r="I18" s="129" t="s">
        <v>220</v>
      </c>
      <c r="J18" s="36"/>
      <c r="K18" s="12"/>
      <c r="L18" s="125" t="s">
        <v>230</v>
      </c>
      <c r="M18" s="126"/>
      <c r="N18" s="126"/>
      <c r="O18" s="126"/>
      <c r="P18" s="126"/>
      <c r="Q18" s="86"/>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13.5" customHeight="1" thickBot="1" x14ac:dyDescent="0.3">
      <c r="A21" s="13"/>
      <c r="B21" s="84" t="s">
        <v>233</v>
      </c>
      <c r="C21" s="85"/>
      <c r="D21" s="85"/>
      <c r="E21" s="85"/>
      <c r="F21" s="85"/>
      <c r="G21" s="86">
        <f>1.09*12*F4</f>
        <v>35975.232000000004</v>
      </c>
      <c r="H21" s="87"/>
      <c r="I21" s="317" t="s">
        <v>625</v>
      </c>
      <c r="J21" s="41"/>
      <c r="K21" s="13"/>
      <c r="L21" s="84" t="s">
        <v>233</v>
      </c>
      <c r="M21" s="85"/>
      <c r="N21" s="85"/>
      <c r="O21" s="85"/>
      <c r="P21" s="85"/>
      <c r="Q21" s="86">
        <f>1.15*12*P4</f>
        <v>35421.839999999997</v>
      </c>
      <c r="R21" s="87"/>
      <c r="S21" s="317" t="s">
        <v>626</v>
      </c>
    </row>
    <row r="22" spans="1:19" ht="36" customHeight="1" x14ac:dyDescent="0.25">
      <c r="A22" s="118"/>
      <c r="B22" s="121" t="s">
        <v>226</v>
      </c>
      <c r="C22" s="122"/>
      <c r="D22" s="122"/>
      <c r="E22" s="122"/>
      <c r="F22" s="122"/>
      <c r="G22" s="88"/>
      <c r="H22" s="89"/>
      <c r="I22" s="318"/>
      <c r="J22" s="41"/>
      <c r="K22" s="118"/>
      <c r="L22" s="121" t="s">
        <v>226</v>
      </c>
      <c r="M22" s="122"/>
      <c r="N22" s="122"/>
      <c r="O22" s="122"/>
      <c r="P22" s="122"/>
      <c r="Q22" s="88"/>
      <c r="R22" s="89"/>
      <c r="S22" s="318"/>
    </row>
    <row r="23" spans="1:19" ht="45.75" customHeight="1" x14ac:dyDescent="0.25">
      <c r="A23" s="119"/>
      <c r="B23" s="121" t="s">
        <v>227</v>
      </c>
      <c r="C23" s="122"/>
      <c r="D23" s="122"/>
      <c r="E23" s="122"/>
      <c r="F23" s="122"/>
      <c r="G23" s="88"/>
      <c r="H23" s="89"/>
      <c r="I23" s="318"/>
      <c r="J23" s="42"/>
      <c r="K23" s="119"/>
      <c r="L23" s="121" t="s">
        <v>227</v>
      </c>
      <c r="M23" s="122"/>
      <c r="N23" s="122"/>
      <c r="O23" s="122"/>
      <c r="P23" s="122"/>
      <c r="Q23" s="88"/>
      <c r="R23" s="89"/>
      <c r="S23" s="318"/>
    </row>
    <row r="24" spans="1:19" ht="48.75" customHeight="1" x14ac:dyDescent="0.25">
      <c r="A24" s="119"/>
      <c r="B24" s="121" t="s">
        <v>228</v>
      </c>
      <c r="C24" s="122"/>
      <c r="D24" s="122"/>
      <c r="E24" s="122"/>
      <c r="F24" s="122"/>
      <c r="G24" s="88"/>
      <c r="H24" s="89"/>
      <c r="I24" s="318"/>
      <c r="J24" s="43"/>
      <c r="K24" s="119"/>
      <c r="L24" s="121" t="s">
        <v>228</v>
      </c>
      <c r="M24" s="122"/>
      <c r="N24" s="122"/>
      <c r="O24" s="122"/>
      <c r="P24" s="122"/>
      <c r="Q24" s="88"/>
      <c r="R24" s="89"/>
      <c r="S24" s="318"/>
    </row>
    <row r="25" spans="1:19" ht="71.25" customHeight="1" thickBot="1" x14ac:dyDescent="0.3">
      <c r="A25" s="120"/>
      <c r="B25" s="123" t="s">
        <v>234</v>
      </c>
      <c r="C25" s="124"/>
      <c r="D25" s="124"/>
      <c r="E25" s="124"/>
      <c r="F25" s="124"/>
      <c r="G25" s="90"/>
      <c r="H25" s="91"/>
      <c r="I25" s="319"/>
      <c r="J25" s="44"/>
      <c r="K25" s="120"/>
      <c r="L25" s="123" t="s">
        <v>234</v>
      </c>
      <c r="M25" s="124"/>
      <c r="N25" s="124"/>
      <c r="O25" s="124"/>
      <c r="P25" s="124"/>
      <c r="Q25" s="90"/>
      <c r="R25" s="91"/>
      <c r="S25" s="319"/>
    </row>
    <row r="26" spans="1:19" ht="2.25" customHeight="1" thickBot="1" x14ac:dyDescent="0.3">
      <c r="A26" s="15"/>
      <c r="B26" s="137" t="s">
        <v>248</v>
      </c>
      <c r="C26" s="138"/>
      <c r="D26" s="138"/>
      <c r="E26" s="138"/>
      <c r="F26" s="138"/>
      <c r="G26" s="139"/>
      <c r="H26" s="140"/>
      <c r="I26" s="16"/>
      <c r="J26" s="40"/>
      <c r="K26" s="15"/>
      <c r="L26" s="137" t="s">
        <v>248</v>
      </c>
      <c r="M26" s="138"/>
      <c r="N26" s="138"/>
      <c r="O26" s="138"/>
      <c r="P26" s="138"/>
      <c r="Q26" s="139"/>
      <c r="R26" s="140"/>
      <c r="S26" s="16"/>
    </row>
    <row r="27" spans="1:19" ht="36" hidden="1" customHeight="1" x14ac:dyDescent="0.25">
      <c r="A27" s="15"/>
      <c r="B27" s="137" t="s">
        <v>235</v>
      </c>
      <c r="C27" s="138"/>
      <c r="D27" s="138"/>
      <c r="E27" s="138"/>
      <c r="F27" s="138"/>
      <c r="G27" s="139"/>
      <c r="H27" s="140"/>
      <c r="I27" s="16"/>
      <c r="J27" s="45"/>
      <c r="K27" s="15"/>
      <c r="L27" s="137" t="s">
        <v>235</v>
      </c>
      <c r="M27" s="138"/>
      <c r="N27" s="138"/>
      <c r="O27" s="138"/>
      <c r="P27" s="138"/>
      <c r="Q27" s="139"/>
      <c r="R27" s="140"/>
      <c r="S27" s="16"/>
    </row>
    <row r="28" spans="1:19" ht="40.5" customHeight="1" thickBot="1" x14ac:dyDescent="0.3">
      <c r="A28" s="17"/>
      <c r="B28" s="78" t="s">
        <v>237</v>
      </c>
      <c r="C28" s="79"/>
      <c r="D28" s="79"/>
      <c r="E28" s="79"/>
      <c r="F28" s="79"/>
      <c r="G28" s="86">
        <v>3300</v>
      </c>
      <c r="H28" s="87"/>
      <c r="I28" s="108" t="s">
        <v>229</v>
      </c>
      <c r="J28" s="41"/>
      <c r="K28" s="17"/>
      <c r="L28" s="78" t="s">
        <v>237</v>
      </c>
      <c r="M28" s="79"/>
      <c r="N28" s="79"/>
      <c r="O28" s="79"/>
      <c r="P28" s="79"/>
      <c r="Q28" s="86">
        <v>3080</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148521.12</v>
      </c>
      <c r="H30" s="115"/>
      <c r="I30" s="20"/>
      <c r="J30" s="47"/>
      <c r="K30" s="19"/>
      <c r="L30" s="112" t="s">
        <v>239</v>
      </c>
      <c r="M30" s="113"/>
      <c r="N30" s="113"/>
      <c r="O30" s="113"/>
      <c r="P30" s="113"/>
      <c r="Q30" s="114">
        <f>SUM(Q9:R29)</f>
        <v>120434.09600000001</v>
      </c>
      <c r="R30" s="115"/>
      <c r="S30" s="20"/>
    </row>
    <row r="31" spans="1:19" ht="25.5" customHeight="1" thickBot="1" x14ac:dyDescent="0.3">
      <c r="A31" s="21"/>
      <c r="B31" s="101" t="s">
        <v>240</v>
      </c>
      <c r="C31" s="102"/>
      <c r="D31" s="102"/>
      <c r="E31" s="102"/>
      <c r="F31" s="102"/>
      <c r="G31" s="116">
        <f>G30*1.2</f>
        <v>178225.34399999998</v>
      </c>
      <c r="H31" s="117"/>
      <c r="I31" s="22"/>
      <c r="J31" s="47"/>
      <c r="K31" s="21"/>
      <c r="L31" s="101" t="s">
        <v>240</v>
      </c>
      <c r="M31" s="102"/>
      <c r="N31" s="102"/>
      <c r="O31" s="102"/>
      <c r="P31" s="102"/>
      <c r="Q31" s="116">
        <f>Q30*1.2</f>
        <v>144520.91519999999</v>
      </c>
      <c r="R31" s="117"/>
      <c r="S31" s="22"/>
    </row>
    <row r="32" spans="1:19" ht="25.5" customHeight="1" thickBot="1" x14ac:dyDescent="0.3">
      <c r="A32" s="24"/>
      <c r="B32" s="96" t="s">
        <v>443</v>
      </c>
      <c r="C32" s="97"/>
      <c r="D32" s="97"/>
      <c r="E32" s="97"/>
      <c r="F32" s="97"/>
      <c r="G32" s="311">
        <v>174113.56</v>
      </c>
      <c r="H32" s="312"/>
      <c r="I32" s="313"/>
      <c r="J32" s="47"/>
      <c r="K32" s="24"/>
      <c r="L32" s="96" t="s">
        <v>443</v>
      </c>
      <c r="M32" s="97"/>
      <c r="N32" s="97"/>
      <c r="O32" s="97"/>
      <c r="P32" s="97"/>
      <c r="Q32" s="311">
        <v>141655.04000000001</v>
      </c>
      <c r="R32" s="312"/>
      <c r="S32" s="313"/>
    </row>
    <row r="33" spans="1:19" ht="25.5" customHeight="1" thickBot="1" x14ac:dyDescent="0.3">
      <c r="A33" s="19"/>
      <c r="B33" s="101" t="s">
        <v>242</v>
      </c>
      <c r="C33" s="102"/>
      <c r="D33" s="102"/>
      <c r="E33" s="102"/>
      <c r="F33" s="102"/>
      <c r="G33" s="307">
        <v>178790.31</v>
      </c>
      <c r="H33" s="308"/>
      <c r="I33" s="309"/>
      <c r="J33" s="48"/>
      <c r="K33" s="19"/>
      <c r="L33" s="101" t="s">
        <v>242</v>
      </c>
      <c r="M33" s="102"/>
      <c r="N33" s="102"/>
      <c r="O33" s="102"/>
      <c r="P33" s="102"/>
      <c r="Q33" s="307">
        <v>141842.46</v>
      </c>
      <c r="R33" s="308"/>
      <c r="S33" s="309"/>
    </row>
    <row r="34" spans="1:19" ht="25.5" customHeight="1" thickBot="1" x14ac:dyDescent="0.3">
      <c r="A34" s="19"/>
      <c r="B34" s="106" t="s">
        <v>444</v>
      </c>
      <c r="C34" s="107"/>
      <c r="D34" s="107"/>
      <c r="E34" s="107"/>
      <c r="F34" s="107"/>
      <c r="G34" s="307">
        <v>57299.13</v>
      </c>
      <c r="H34" s="308"/>
      <c r="I34" s="309"/>
      <c r="J34" s="49"/>
      <c r="K34" s="19"/>
      <c r="L34" s="106" t="s">
        <v>444</v>
      </c>
      <c r="M34" s="107"/>
      <c r="N34" s="107"/>
      <c r="O34" s="107"/>
      <c r="P34" s="107"/>
      <c r="Q34" s="307">
        <v>22951.759999999998</v>
      </c>
      <c r="R34" s="308"/>
      <c r="S34" s="309"/>
    </row>
    <row r="35" spans="1:19" x14ac:dyDescent="0.25">
      <c r="B35" s="323" t="s">
        <v>624</v>
      </c>
      <c r="C35" s="323"/>
      <c r="D35" s="323"/>
      <c r="E35" s="323"/>
      <c r="F35" s="323"/>
      <c r="G35" s="323"/>
      <c r="H35" s="323"/>
      <c r="I35" s="323"/>
      <c r="O35" s="50"/>
      <c r="S35" s="5"/>
    </row>
    <row r="36" spans="1:19" ht="46.5" customHeight="1" x14ac:dyDescent="0.25">
      <c r="A36" s="3"/>
      <c r="B36" s="353"/>
      <c r="C36" s="353"/>
      <c r="D36" s="353"/>
      <c r="E36" s="353"/>
      <c r="F36" s="353"/>
      <c r="G36" s="353"/>
      <c r="H36" s="353"/>
      <c r="I36" s="353"/>
      <c r="K36" s="3"/>
      <c r="S36" s="5"/>
    </row>
    <row r="37" spans="1:19" ht="15.75" x14ac:dyDescent="0.25">
      <c r="A37" s="30"/>
      <c r="C37" s="30"/>
      <c r="K37" s="30"/>
      <c r="N37" s="30"/>
    </row>
    <row r="38" spans="1:19" ht="15.75" x14ac:dyDescent="0.25">
      <c r="A38" s="30"/>
      <c r="C38" s="30"/>
      <c r="K38" s="30"/>
      <c r="N38" s="30"/>
    </row>
    <row r="39" spans="1:19" x14ac:dyDescent="0.25">
      <c r="A39" s="3"/>
      <c r="B39" s="3"/>
      <c r="C39" s="3"/>
      <c r="D39" s="3"/>
      <c r="E39" s="4" t="s">
        <v>204</v>
      </c>
      <c r="F39" s="3"/>
      <c r="G39" s="3"/>
      <c r="H39" s="3"/>
      <c r="I39" s="3"/>
      <c r="K39" s="3"/>
      <c r="L39" s="3"/>
      <c r="M39" s="3"/>
      <c r="N39" s="3"/>
      <c r="O39" s="4" t="s">
        <v>204</v>
      </c>
      <c r="P39" s="3"/>
      <c r="Q39" s="3"/>
      <c r="R39" s="3"/>
      <c r="S39" s="3"/>
    </row>
    <row r="40" spans="1:19" x14ac:dyDescent="0.25">
      <c r="A40" s="3" t="s">
        <v>205</v>
      </c>
      <c r="B40" s="3"/>
      <c r="C40" s="3"/>
      <c r="D40" s="3" t="s">
        <v>391</v>
      </c>
      <c r="E40" s="3"/>
      <c r="F40" s="3"/>
      <c r="G40" s="3"/>
      <c r="H40" s="3"/>
      <c r="I40" s="3"/>
      <c r="K40" s="3" t="s">
        <v>205</v>
      </c>
      <c r="L40" s="3"/>
      <c r="M40" s="3"/>
      <c r="N40" s="3" t="s">
        <v>392</v>
      </c>
      <c r="O40" s="3"/>
      <c r="P40" s="3"/>
      <c r="Q40" s="3"/>
      <c r="R40" s="3"/>
      <c r="S40" s="3"/>
    </row>
    <row r="41" spans="1:19" ht="15" customHeight="1" x14ac:dyDescent="0.25">
      <c r="A41" s="3"/>
      <c r="B41" s="5" t="s">
        <v>440</v>
      </c>
      <c r="C41" s="3"/>
      <c r="D41" s="3"/>
      <c r="E41" s="3"/>
      <c r="F41" s="3"/>
      <c r="G41" s="3"/>
      <c r="H41" s="3"/>
      <c r="I41" s="3"/>
      <c r="J41" s="3"/>
      <c r="K41" s="3"/>
      <c r="L41" s="5" t="s">
        <v>440</v>
      </c>
      <c r="M41" s="3"/>
      <c r="N41" s="3"/>
      <c r="O41" s="3"/>
      <c r="P41" s="3"/>
      <c r="Q41" s="3"/>
      <c r="R41" s="3"/>
      <c r="S41" s="3"/>
    </row>
    <row r="42" spans="1:19" ht="15" customHeight="1" thickBot="1" x14ac:dyDescent="0.3">
      <c r="A42" s="3"/>
      <c r="B42" s="5" t="s">
        <v>206</v>
      </c>
      <c r="C42" s="3"/>
      <c r="D42" s="3"/>
      <c r="E42" s="3"/>
      <c r="F42" s="3">
        <v>2553.6</v>
      </c>
      <c r="G42" s="3" t="s">
        <v>207</v>
      </c>
      <c r="H42" s="3"/>
      <c r="I42" s="3"/>
      <c r="J42" s="3"/>
      <c r="K42" s="3"/>
      <c r="L42" s="5" t="s">
        <v>206</v>
      </c>
      <c r="M42" s="3"/>
      <c r="N42" s="3"/>
      <c r="O42" s="3"/>
      <c r="P42" s="3">
        <v>2590.4</v>
      </c>
      <c r="Q42" s="3" t="s">
        <v>207</v>
      </c>
      <c r="R42" s="3"/>
      <c r="S42" s="3"/>
    </row>
    <row r="43" spans="1:19" ht="15" customHeight="1" x14ac:dyDescent="0.25">
      <c r="A43" s="175" t="s">
        <v>209</v>
      </c>
      <c r="B43" s="177" t="s">
        <v>210</v>
      </c>
      <c r="C43" s="178"/>
      <c r="D43" s="178"/>
      <c r="E43" s="178"/>
      <c r="F43" s="178"/>
      <c r="G43" s="180" t="s">
        <v>441</v>
      </c>
      <c r="H43" s="181"/>
      <c r="I43" s="175" t="s">
        <v>212</v>
      </c>
      <c r="J43" s="51"/>
      <c r="K43" s="175" t="s">
        <v>209</v>
      </c>
      <c r="L43" s="177" t="s">
        <v>210</v>
      </c>
      <c r="M43" s="178"/>
      <c r="N43" s="178"/>
      <c r="O43" s="178"/>
      <c r="P43" s="178"/>
      <c r="Q43" s="180" t="s">
        <v>441</v>
      </c>
      <c r="R43" s="181"/>
      <c r="S43" s="175" t="s">
        <v>212</v>
      </c>
    </row>
    <row r="44" spans="1:19" ht="41.25" customHeight="1" thickBot="1" x14ac:dyDescent="0.3">
      <c r="A44" s="176"/>
      <c r="B44" s="179"/>
      <c r="C44" s="179"/>
      <c r="D44" s="179"/>
      <c r="E44" s="179"/>
      <c r="F44" s="179"/>
      <c r="G44" s="182"/>
      <c r="H44" s="183"/>
      <c r="I44" s="184"/>
      <c r="J44" s="52"/>
      <c r="K44" s="176"/>
      <c r="L44" s="179"/>
      <c r="M44" s="179"/>
      <c r="N44" s="179"/>
      <c r="O44" s="179"/>
      <c r="P44" s="179"/>
      <c r="Q44" s="182"/>
      <c r="R44" s="183"/>
      <c r="S44" s="184"/>
    </row>
    <row r="45" spans="1:19" ht="17.25" customHeight="1" x14ac:dyDescent="0.25">
      <c r="A45" s="185" t="s">
        <v>213</v>
      </c>
      <c r="B45" s="187" t="s">
        <v>354</v>
      </c>
      <c r="C45" s="188"/>
      <c r="D45" s="188"/>
      <c r="E45" s="188"/>
      <c r="F45" s="188"/>
      <c r="G45" s="190">
        <v>22229</v>
      </c>
      <c r="H45" s="191"/>
      <c r="I45" s="192"/>
      <c r="J45" s="53"/>
      <c r="K45" s="185" t="s">
        <v>213</v>
      </c>
      <c r="L45" s="187" t="s">
        <v>354</v>
      </c>
      <c r="M45" s="188"/>
      <c r="N45" s="188"/>
      <c r="O45" s="188"/>
      <c r="P45" s="188"/>
      <c r="Q45" s="190">
        <v>24509.51</v>
      </c>
      <c r="R45" s="191"/>
      <c r="S45" s="192"/>
    </row>
    <row r="46" spans="1:19" ht="13.5" customHeight="1" thickBot="1" x14ac:dyDescent="0.3">
      <c r="A46" s="186"/>
      <c r="B46" s="189"/>
      <c r="C46" s="189"/>
      <c r="D46" s="189"/>
      <c r="E46" s="189"/>
      <c r="F46" s="189"/>
      <c r="G46" s="193"/>
      <c r="H46" s="194"/>
      <c r="I46" s="128"/>
      <c r="J46" s="54"/>
      <c r="K46" s="186"/>
      <c r="L46" s="189"/>
      <c r="M46" s="189"/>
      <c r="N46" s="189"/>
      <c r="O46" s="189"/>
      <c r="P46" s="189"/>
      <c r="Q46" s="193"/>
      <c r="R46" s="194"/>
      <c r="S46" s="128"/>
    </row>
    <row r="47" spans="1:19" ht="13.5" customHeight="1" x14ac:dyDescent="0.25">
      <c r="A47" s="6"/>
      <c r="B47" s="161" t="s">
        <v>214</v>
      </c>
      <c r="C47" s="162"/>
      <c r="D47" s="162"/>
      <c r="E47" s="162"/>
      <c r="F47" s="162"/>
      <c r="G47" s="163">
        <f>1*12*F42</f>
        <v>30643.199999999997</v>
      </c>
      <c r="H47" s="164"/>
      <c r="I47" s="169" t="s">
        <v>215</v>
      </c>
      <c r="J47" s="42"/>
      <c r="K47" s="6"/>
      <c r="L47" s="161" t="s">
        <v>214</v>
      </c>
      <c r="M47" s="162"/>
      <c r="N47" s="162"/>
      <c r="O47" s="162"/>
      <c r="P47" s="162"/>
      <c r="Q47" s="163">
        <f>0.86*12*P42</f>
        <v>26732.928</v>
      </c>
      <c r="R47" s="164"/>
      <c r="S47" s="169" t="s">
        <v>215</v>
      </c>
    </row>
    <row r="48" spans="1:19" ht="44.25" customHeight="1" thickBot="1" x14ac:dyDescent="0.3">
      <c r="A48" s="7"/>
      <c r="B48" s="171" t="s">
        <v>216</v>
      </c>
      <c r="C48" s="172"/>
      <c r="D48" s="172"/>
      <c r="E48" s="172"/>
      <c r="F48" s="172"/>
      <c r="G48" s="165"/>
      <c r="H48" s="166"/>
      <c r="I48" s="170"/>
      <c r="J48" s="43"/>
      <c r="K48" s="7"/>
      <c r="L48" s="171" t="s">
        <v>216</v>
      </c>
      <c r="M48" s="172"/>
      <c r="N48" s="172"/>
      <c r="O48" s="172"/>
      <c r="P48" s="172"/>
      <c r="Q48" s="165"/>
      <c r="R48" s="166"/>
      <c r="S48" s="170"/>
    </row>
    <row r="49" spans="1:19" ht="13.5" customHeight="1" thickBot="1" x14ac:dyDescent="0.3">
      <c r="A49" s="7"/>
      <c r="B49" s="173" t="s">
        <v>217</v>
      </c>
      <c r="C49" s="174"/>
      <c r="D49" s="174"/>
      <c r="E49" s="174"/>
      <c r="F49" s="174"/>
      <c r="G49" s="167"/>
      <c r="H49" s="168"/>
      <c r="I49" s="8" t="s">
        <v>218</v>
      </c>
      <c r="J49" s="43"/>
      <c r="K49" s="7"/>
      <c r="L49" s="173" t="s">
        <v>217</v>
      </c>
      <c r="M49" s="174"/>
      <c r="N49" s="174"/>
      <c r="O49" s="174"/>
      <c r="P49" s="174"/>
      <c r="Q49" s="167"/>
      <c r="R49" s="168"/>
      <c r="S49" s="8" t="s">
        <v>218</v>
      </c>
    </row>
    <row r="50" spans="1:19" ht="18" customHeight="1" thickBot="1" x14ac:dyDescent="0.3">
      <c r="A50" s="7"/>
      <c r="B50" s="141" t="s">
        <v>219</v>
      </c>
      <c r="C50" s="142"/>
      <c r="D50" s="142"/>
      <c r="E50" s="142"/>
      <c r="F50" s="142"/>
      <c r="G50" s="143">
        <v>0</v>
      </c>
      <c r="H50" s="144"/>
      <c r="I50" s="8" t="s">
        <v>220</v>
      </c>
      <c r="J50" s="55"/>
      <c r="K50" s="7"/>
      <c r="L50" s="141" t="s">
        <v>219</v>
      </c>
      <c r="M50" s="142"/>
      <c r="N50" s="142"/>
      <c r="O50" s="142"/>
      <c r="P50" s="142"/>
      <c r="Q50" s="143">
        <v>0</v>
      </c>
      <c r="R50" s="144"/>
      <c r="S50" s="8" t="s">
        <v>220</v>
      </c>
    </row>
    <row r="51" spans="1:19" ht="18" customHeight="1" thickBot="1" x14ac:dyDescent="0.3">
      <c r="A51" s="7"/>
      <c r="B51" s="141" t="s">
        <v>221</v>
      </c>
      <c r="C51" s="142"/>
      <c r="D51" s="142"/>
      <c r="E51" s="142"/>
      <c r="F51" s="142"/>
      <c r="G51" s="143">
        <f>0.47*12*F42</f>
        <v>14402.303999999998</v>
      </c>
      <c r="H51" s="144"/>
      <c r="I51" s="8" t="s">
        <v>222</v>
      </c>
      <c r="J51" s="56"/>
      <c r="K51" s="7"/>
      <c r="L51" s="141" t="s">
        <v>221</v>
      </c>
      <c r="M51" s="142"/>
      <c r="N51" s="142"/>
      <c r="O51" s="142"/>
      <c r="P51" s="142"/>
      <c r="Q51" s="143">
        <f>0.4*12*P42</f>
        <v>12433.920000000002</v>
      </c>
      <c r="R51" s="144"/>
      <c r="S51" s="8" t="s">
        <v>222</v>
      </c>
    </row>
    <row r="52" spans="1:19" ht="13.5" customHeight="1" x14ac:dyDescent="0.25">
      <c r="A52" s="9"/>
      <c r="B52" s="145" t="s">
        <v>223</v>
      </c>
      <c r="C52" s="146"/>
      <c r="D52" s="146"/>
      <c r="E52" s="146"/>
      <c r="F52" s="146"/>
      <c r="G52" s="86">
        <f>1.34*12*F42</f>
        <v>41061.888000000006</v>
      </c>
      <c r="H52" s="147"/>
      <c r="I52" s="152" t="s">
        <v>224</v>
      </c>
      <c r="J52" s="56"/>
      <c r="K52" s="9"/>
      <c r="L52" s="145" t="s">
        <v>223</v>
      </c>
      <c r="M52" s="146"/>
      <c r="N52" s="146"/>
      <c r="O52" s="146"/>
      <c r="P52" s="146"/>
      <c r="Q52" s="86">
        <f>1.34*12*P42</f>
        <v>41653.632000000005</v>
      </c>
      <c r="R52" s="147"/>
      <c r="S52" s="152" t="s">
        <v>224</v>
      </c>
    </row>
    <row r="53" spans="1:19" ht="13.5" customHeight="1" x14ac:dyDescent="0.25">
      <c r="A53" s="10"/>
      <c r="B53" s="155" t="s">
        <v>226</v>
      </c>
      <c r="C53" s="156"/>
      <c r="D53" s="156"/>
      <c r="E53" s="156"/>
      <c r="F53" s="156"/>
      <c r="G53" s="148"/>
      <c r="H53" s="149"/>
      <c r="I53" s="153"/>
      <c r="J53" s="57"/>
      <c r="K53" s="10"/>
      <c r="L53" s="155" t="s">
        <v>226</v>
      </c>
      <c r="M53" s="156"/>
      <c r="N53" s="156"/>
      <c r="O53" s="156"/>
      <c r="P53" s="156"/>
      <c r="Q53" s="148"/>
      <c r="R53" s="149"/>
      <c r="S53" s="153"/>
    </row>
    <row r="54" spans="1:19" ht="13.5" customHeight="1" thickBot="1" x14ac:dyDescent="0.3">
      <c r="A54" s="10"/>
      <c r="B54" s="157" t="s">
        <v>227</v>
      </c>
      <c r="C54" s="158"/>
      <c r="D54" s="158"/>
      <c r="E54" s="158"/>
      <c r="F54" s="158"/>
      <c r="G54" s="148"/>
      <c r="H54" s="149"/>
      <c r="I54" s="154"/>
      <c r="J54" s="43"/>
      <c r="K54" s="10"/>
      <c r="L54" s="157" t="s">
        <v>227</v>
      </c>
      <c r="M54" s="158"/>
      <c r="N54" s="158"/>
      <c r="O54" s="158"/>
      <c r="P54" s="158"/>
      <c r="Q54" s="148"/>
      <c r="R54" s="149"/>
      <c r="S54" s="154"/>
    </row>
    <row r="55" spans="1:19" ht="13.5" customHeight="1" thickBot="1" x14ac:dyDescent="0.3">
      <c r="A55" s="10"/>
      <c r="B55" s="159" t="s">
        <v>228</v>
      </c>
      <c r="C55" s="160"/>
      <c r="D55" s="160"/>
      <c r="E55" s="160"/>
      <c r="F55" s="160"/>
      <c r="G55" s="150"/>
      <c r="H55" s="151"/>
      <c r="I55" s="11" t="s">
        <v>229</v>
      </c>
      <c r="J55" s="43"/>
      <c r="K55" s="10"/>
      <c r="L55" s="159" t="s">
        <v>228</v>
      </c>
      <c r="M55" s="160"/>
      <c r="N55" s="160"/>
      <c r="O55" s="160"/>
      <c r="P55" s="160"/>
      <c r="Q55" s="150"/>
      <c r="R55" s="151"/>
      <c r="S55" s="11" t="s">
        <v>229</v>
      </c>
    </row>
    <row r="56" spans="1:19" ht="15.75" customHeight="1" x14ac:dyDescent="0.25">
      <c r="A56" s="12"/>
      <c r="B56" s="125" t="s">
        <v>230</v>
      </c>
      <c r="C56" s="126"/>
      <c r="D56" s="126"/>
      <c r="E56" s="126"/>
      <c r="F56" s="126"/>
      <c r="G56" s="86">
        <f>0.04*12*F42</f>
        <v>1225.7279999999998</v>
      </c>
      <c r="H56" s="87"/>
      <c r="I56" s="129" t="s">
        <v>220</v>
      </c>
      <c r="J56" s="43"/>
      <c r="K56" s="12"/>
      <c r="L56" s="125" t="s">
        <v>230</v>
      </c>
      <c r="M56" s="126"/>
      <c r="N56" s="126"/>
      <c r="O56" s="126"/>
      <c r="P56" s="126"/>
      <c r="Q56" s="86">
        <f>0.04*12*P42</f>
        <v>1243.3920000000001</v>
      </c>
      <c r="R56" s="87"/>
      <c r="S56" s="129" t="s">
        <v>220</v>
      </c>
    </row>
    <row r="57" spans="1:19" ht="15.75" customHeight="1" thickBot="1" x14ac:dyDescent="0.3">
      <c r="A57" s="7"/>
      <c r="B57" s="131" t="s">
        <v>231</v>
      </c>
      <c r="C57" s="132"/>
      <c r="D57" s="132"/>
      <c r="E57" s="132"/>
      <c r="F57" s="132"/>
      <c r="G57" s="127"/>
      <c r="H57" s="128"/>
      <c r="I57" s="130"/>
      <c r="J57" s="43"/>
      <c r="K57" s="7"/>
      <c r="L57" s="131" t="s">
        <v>231</v>
      </c>
      <c r="M57" s="132"/>
      <c r="N57" s="132"/>
      <c r="O57" s="132"/>
      <c r="P57" s="132"/>
      <c r="Q57" s="127"/>
      <c r="R57" s="128"/>
      <c r="S57" s="130"/>
    </row>
    <row r="58" spans="1:19" ht="15.75" customHeight="1" thickBot="1" x14ac:dyDescent="0.3">
      <c r="A58" s="13"/>
      <c r="B58" s="133" t="s">
        <v>232</v>
      </c>
      <c r="C58" s="134"/>
      <c r="D58" s="134"/>
      <c r="E58" s="134"/>
      <c r="F58" s="134"/>
      <c r="G58" s="135"/>
      <c r="H58" s="136"/>
      <c r="I58" s="14"/>
      <c r="J58" s="58"/>
      <c r="K58" s="13"/>
      <c r="L58" s="133" t="s">
        <v>232</v>
      </c>
      <c r="M58" s="134"/>
      <c r="N58" s="134"/>
      <c r="O58" s="134"/>
      <c r="P58" s="134"/>
      <c r="Q58" s="135"/>
      <c r="R58" s="136"/>
      <c r="S58" s="14"/>
    </row>
    <row r="59" spans="1:19" ht="38.1" customHeight="1" thickBot="1" x14ac:dyDescent="0.3">
      <c r="A59" s="13"/>
      <c r="B59" s="84" t="s">
        <v>233</v>
      </c>
      <c r="C59" s="85"/>
      <c r="D59" s="85"/>
      <c r="E59" s="85"/>
      <c r="F59" s="85"/>
      <c r="G59" s="86">
        <f>0.77*12*F42</f>
        <v>23595.263999999999</v>
      </c>
      <c r="H59" s="87"/>
      <c r="I59" s="317" t="s">
        <v>627</v>
      </c>
      <c r="J59" s="41"/>
      <c r="K59" s="13"/>
      <c r="L59" s="84" t="s">
        <v>233</v>
      </c>
      <c r="M59" s="85"/>
      <c r="N59" s="85"/>
      <c r="O59" s="85"/>
      <c r="P59" s="85"/>
      <c r="Q59" s="86">
        <f>1.1*12*P42</f>
        <v>34193.280000000006</v>
      </c>
      <c r="R59" s="87"/>
      <c r="S59" s="92" t="s">
        <v>628</v>
      </c>
    </row>
    <row r="60" spans="1:19" ht="35.1" customHeight="1" x14ac:dyDescent="0.25">
      <c r="A60" s="118"/>
      <c r="B60" s="121" t="s">
        <v>226</v>
      </c>
      <c r="C60" s="122"/>
      <c r="D60" s="122"/>
      <c r="E60" s="122"/>
      <c r="F60" s="122"/>
      <c r="G60" s="88"/>
      <c r="H60" s="89"/>
      <c r="I60" s="318"/>
      <c r="J60" s="41"/>
      <c r="K60" s="118"/>
      <c r="L60" s="121" t="s">
        <v>226</v>
      </c>
      <c r="M60" s="122"/>
      <c r="N60" s="122"/>
      <c r="O60" s="122"/>
      <c r="P60" s="122"/>
      <c r="Q60" s="88"/>
      <c r="R60" s="89"/>
      <c r="S60" s="93"/>
    </row>
    <row r="61" spans="1:19" ht="26.1" customHeight="1" x14ac:dyDescent="0.25">
      <c r="A61" s="119"/>
      <c r="B61" s="121" t="s">
        <v>227</v>
      </c>
      <c r="C61" s="122"/>
      <c r="D61" s="122"/>
      <c r="E61" s="122"/>
      <c r="F61" s="122"/>
      <c r="G61" s="88"/>
      <c r="H61" s="89"/>
      <c r="I61" s="318"/>
      <c r="J61" s="42"/>
      <c r="K61" s="119"/>
      <c r="L61" s="121" t="s">
        <v>227</v>
      </c>
      <c r="M61" s="122"/>
      <c r="N61" s="122"/>
      <c r="O61" s="122"/>
      <c r="P61" s="122"/>
      <c r="Q61" s="88"/>
      <c r="R61" s="89"/>
      <c r="S61" s="93"/>
    </row>
    <row r="62" spans="1:19" ht="30.95" customHeight="1" x14ac:dyDescent="0.25">
      <c r="A62" s="119"/>
      <c r="B62" s="121" t="s">
        <v>228</v>
      </c>
      <c r="C62" s="122"/>
      <c r="D62" s="122"/>
      <c r="E62" s="122"/>
      <c r="F62" s="122"/>
      <c r="G62" s="88"/>
      <c r="H62" s="89"/>
      <c r="I62" s="318"/>
      <c r="J62" s="43"/>
      <c r="K62" s="119"/>
      <c r="L62" s="121" t="s">
        <v>228</v>
      </c>
      <c r="M62" s="122"/>
      <c r="N62" s="122"/>
      <c r="O62" s="122"/>
      <c r="P62" s="122"/>
      <c r="Q62" s="88"/>
      <c r="R62" s="89"/>
      <c r="S62" s="93"/>
    </row>
    <row r="63" spans="1:19" ht="60.6" customHeight="1" thickBot="1" x14ac:dyDescent="0.3">
      <c r="A63" s="120"/>
      <c r="B63" s="123" t="s">
        <v>234</v>
      </c>
      <c r="C63" s="124"/>
      <c r="D63" s="124"/>
      <c r="E63" s="124"/>
      <c r="F63" s="124"/>
      <c r="G63" s="90"/>
      <c r="H63" s="91"/>
      <c r="I63" s="319"/>
      <c r="J63" s="59"/>
      <c r="K63" s="120"/>
      <c r="L63" s="123" t="s">
        <v>234</v>
      </c>
      <c r="M63" s="124"/>
      <c r="N63" s="124"/>
      <c r="O63" s="124"/>
      <c r="P63" s="124"/>
      <c r="Q63" s="90"/>
      <c r="R63" s="91"/>
      <c r="S63" s="94"/>
    </row>
    <row r="64" spans="1:19" ht="0.75" customHeight="1" thickBot="1" x14ac:dyDescent="0.3">
      <c r="A64" s="15"/>
      <c r="B64" s="137" t="s">
        <v>248</v>
      </c>
      <c r="C64" s="138"/>
      <c r="D64" s="138"/>
      <c r="E64" s="138"/>
      <c r="F64" s="138"/>
      <c r="G64" s="139"/>
      <c r="H64" s="140"/>
      <c r="I64" s="16"/>
      <c r="J64" s="58"/>
      <c r="K64" s="15"/>
      <c r="L64" s="137" t="s">
        <v>248</v>
      </c>
      <c r="M64" s="138"/>
      <c r="N64" s="138"/>
      <c r="O64" s="138"/>
      <c r="P64" s="138"/>
      <c r="Q64" s="139"/>
      <c r="R64" s="140"/>
      <c r="S64" s="16"/>
    </row>
    <row r="65" spans="1:19" ht="0.75" customHeight="1" thickBot="1" x14ac:dyDescent="0.3">
      <c r="A65" s="15"/>
      <c r="B65" s="137" t="s">
        <v>235</v>
      </c>
      <c r="C65" s="138"/>
      <c r="D65" s="138"/>
      <c r="E65" s="138"/>
      <c r="F65" s="138"/>
      <c r="G65" s="139"/>
      <c r="H65" s="140"/>
      <c r="I65" s="16"/>
      <c r="J65" s="45"/>
      <c r="K65" s="15"/>
      <c r="L65" s="137" t="s">
        <v>235</v>
      </c>
      <c r="M65" s="138"/>
      <c r="N65" s="138"/>
      <c r="O65" s="138"/>
      <c r="P65" s="138"/>
      <c r="Q65" s="139"/>
      <c r="R65" s="140"/>
      <c r="S65" s="16"/>
    </row>
    <row r="66" spans="1:19" ht="36" customHeight="1" thickBot="1" x14ac:dyDescent="0.3">
      <c r="A66" s="17"/>
      <c r="B66" s="78" t="s">
        <v>237</v>
      </c>
      <c r="C66" s="79"/>
      <c r="D66" s="79"/>
      <c r="E66" s="79"/>
      <c r="F66" s="79"/>
      <c r="G66" s="86">
        <v>19864</v>
      </c>
      <c r="H66" s="87"/>
      <c r="I66" s="108" t="s">
        <v>229</v>
      </c>
      <c r="J66" s="41"/>
      <c r="K66" s="17"/>
      <c r="L66" s="78" t="s">
        <v>237</v>
      </c>
      <c r="M66" s="79"/>
      <c r="N66" s="79"/>
      <c r="O66" s="79"/>
      <c r="P66" s="79"/>
      <c r="Q66" s="86">
        <v>3080</v>
      </c>
      <c r="R66" s="87"/>
      <c r="S66" s="108" t="s">
        <v>229</v>
      </c>
    </row>
    <row r="67" spans="1:19" ht="15.75" customHeight="1" thickBot="1" x14ac:dyDescent="0.3">
      <c r="A67" s="18"/>
      <c r="B67" s="110" t="s">
        <v>238</v>
      </c>
      <c r="C67" s="111"/>
      <c r="D67" s="111"/>
      <c r="E67" s="111"/>
      <c r="F67" s="111"/>
      <c r="G67" s="90"/>
      <c r="H67" s="91"/>
      <c r="I67" s="109"/>
      <c r="J67" s="41"/>
      <c r="K67" s="18"/>
      <c r="L67" s="110" t="s">
        <v>238</v>
      </c>
      <c r="M67" s="111"/>
      <c r="N67" s="111"/>
      <c r="O67" s="111"/>
      <c r="P67" s="111"/>
      <c r="Q67" s="90"/>
      <c r="R67" s="91"/>
      <c r="S67" s="109"/>
    </row>
    <row r="68" spans="1:19" ht="15.75" customHeight="1" thickBot="1" x14ac:dyDescent="0.3">
      <c r="A68" s="19"/>
      <c r="B68" s="112" t="s">
        <v>239</v>
      </c>
      <c r="C68" s="113"/>
      <c r="D68" s="113"/>
      <c r="E68" s="113"/>
      <c r="F68" s="113"/>
      <c r="G68" s="114">
        <f>SUM(G47:H67)</f>
        <v>130792.38399999999</v>
      </c>
      <c r="H68" s="115"/>
      <c r="I68" s="20"/>
      <c r="J68" s="60"/>
      <c r="K68" s="19"/>
      <c r="L68" s="112" t="s">
        <v>239</v>
      </c>
      <c r="M68" s="113"/>
      <c r="N68" s="113"/>
      <c r="O68" s="113"/>
      <c r="P68" s="113"/>
      <c r="Q68" s="114">
        <f>SUM(Q47:R67)</f>
        <v>119337.15200000003</v>
      </c>
      <c r="R68" s="115"/>
      <c r="S68" s="20"/>
    </row>
    <row r="69" spans="1:19" ht="24" customHeight="1" thickBot="1" x14ac:dyDescent="0.3">
      <c r="A69" s="21"/>
      <c r="B69" s="101" t="s">
        <v>240</v>
      </c>
      <c r="C69" s="102"/>
      <c r="D69" s="102"/>
      <c r="E69" s="102"/>
      <c r="F69" s="102"/>
      <c r="G69" s="116">
        <f>G68*1.2</f>
        <v>156950.86079999999</v>
      </c>
      <c r="H69" s="117"/>
      <c r="I69" s="22"/>
      <c r="J69" s="60"/>
      <c r="K69" s="21"/>
      <c r="L69" s="101" t="s">
        <v>240</v>
      </c>
      <c r="M69" s="102"/>
      <c r="N69" s="102"/>
      <c r="O69" s="102"/>
      <c r="P69" s="102"/>
      <c r="Q69" s="116">
        <f>Q68*1.2</f>
        <v>143204.58240000004</v>
      </c>
      <c r="R69" s="117"/>
      <c r="S69" s="22"/>
    </row>
    <row r="70" spans="1:19" ht="24" customHeight="1" thickBot="1" x14ac:dyDescent="0.3">
      <c r="A70" s="24"/>
      <c r="B70" s="96" t="s">
        <v>443</v>
      </c>
      <c r="C70" s="97"/>
      <c r="D70" s="97"/>
      <c r="E70" s="97"/>
      <c r="F70" s="97"/>
      <c r="G70" s="311">
        <v>158588.44</v>
      </c>
      <c r="H70" s="312"/>
      <c r="I70" s="313"/>
      <c r="J70" s="60"/>
      <c r="K70" s="24"/>
      <c r="L70" s="96" t="s">
        <v>443</v>
      </c>
      <c r="M70" s="97"/>
      <c r="N70" s="97"/>
      <c r="O70" s="97"/>
      <c r="P70" s="97"/>
      <c r="Q70" s="311">
        <v>146384.70000000001</v>
      </c>
      <c r="R70" s="312"/>
      <c r="S70" s="313"/>
    </row>
    <row r="71" spans="1:19" ht="24" customHeight="1" thickBot="1" x14ac:dyDescent="0.3">
      <c r="A71" s="19"/>
      <c r="B71" s="101" t="s">
        <v>242</v>
      </c>
      <c r="C71" s="102"/>
      <c r="D71" s="102"/>
      <c r="E71" s="102"/>
      <c r="F71" s="102"/>
      <c r="G71" s="307">
        <v>154070.96</v>
      </c>
      <c r="H71" s="308"/>
      <c r="I71" s="309"/>
      <c r="K71" s="19"/>
      <c r="L71" s="101" t="s">
        <v>242</v>
      </c>
      <c r="M71" s="102"/>
      <c r="N71" s="102"/>
      <c r="O71" s="102"/>
      <c r="P71" s="102"/>
      <c r="Q71" s="307">
        <v>133271.71</v>
      </c>
      <c r="R71" s="308"/>
      <c r="S71" s="309"/>
    </row>
    <row r="72" spans="1:19" ht="24" customHeight="1" thickBot="1" x14ac:dyDescent="0.3">
      <c r="A72" s="19"/>
      <c r="B72" s="106" t="s">
        <v>444</v>
      </c>
      <c r="C72" s="107"/>
      <c r="D72" s="107"/>
      <c r="E72" s="107"/>
      <c r="F72" s="107"/>
      <c r="G72" s="307">
        <v>26746.48</v>
      </c>
      <c r="H72" s="308"/>
      <c r="I72" s="309"/>
      <c r="J72" s="61"/>
      <c r="K72" s="19"/>
      <c r="L72" s="106" t="s">
        <v>444</v>
      </c>
      <c r="M72" s="107"/>
      <c r="N72" s="107"/>
      <c r="O72" s="107"/>
      <c r="P72" s="107"/>
      <c r="Q72" s="307">
        <v>37622.5</v>
      </c>
      <c r="R72" s="308"/>
      <c r="S72" s="309"/>
    </row>
    <row r="73" spans="1:19" ht="27.95" customHeight="1" x14ac:dyDescent="0.25">
      <c r="A73" s="4"/>
      <c r="B73" s="26"/>
      <c r="C73" s="26"/>
      <c r="D73" s="26"/>
      <c r="E73" s="26"/>
      <c r="F73" s="26"/>
      <c r="G73" s="27"/>
      <c r="H73" s="3"/>
      <c r="I73" s="3"/>
      <c r="K73" s="4"/>
      <c r="L73" s="358"/>
      <c r="M73" s="358"/>
      <c r="N73" s="358"/>
      <c r="O73" s="358"/>
      <c r="P73" s="358"/>
      <c r="Q73" s="358"/>
      <c r="R73" s="358"/>
      <c r="S73" s="358"/>
    </row>
    <row r="74" spans="1:19" x14ac:dyDescent="0.25">
      <c r="E74" s="50"/>
      <c r="I74" s="5"/>
      <c r="O74" s="50"/>
      <c r="S74" s="5"/>
    </row>
    <row r="75" spans="1:19" x14ac:dyDescent="0.25">
      <c r="A75" s="3"/>
      <c r="I75" s="5"/>
      <c r="K75" s="3"/>
      <c r="S75" s="5"/>
    </row>
    <row r="76" spans="1:19" ht="15.75" x14ac:dyDescent="0.25">
      <c r="C76" s="30"/>
      <c r="K76" s="30"/>
      <c r="N76" s="30"/>
    </row>
    <row r="77" spans="1:19" ht="15.75" x14ac:dyDescent="0.25">
      <c r="A77" s="30"/>
      <c r="C77" s="30"/>
      <c r="K77" s="30"/>
      <c r="N77" s="30"/>
    </row>
    <row r="78" spans="1:19" ht="15.75" x14ac:dyDescent="0.25">
      <c r="A78" s="30"/>
      <c r="C78" s="30"/>
      <c r="K78" s="30"/>
      <c r="N78" s="30"/>
    </row>
    <row r="79" spans="1:19" x14ac:dyDescent="0.25">
      <c r="A79" s="3"/>
      <c r="B79" s="3"/>
      <c r="C79" s="3"/>
      <c r="D79" s="3"/>
      <c r="E79" s="4" t="s">
        <v>204</v>
      </c>
      <c r="F79" s="3"/>
      <c r="G79" s="3"/>
      <c r="H79" s="3"/>
      <c r="I79" s="3"/>
      <c r="K79" s="3"/>
      <c r="L79" s="3"/>
      <c r="M79" s="3"/>
      <c r="N79" s="3"/>
      <c r="O79" s="4" t="s">
        <v>204</v>
      </c>
      <c r="P79" s="3"/>
      <c r="Q79" s="3"/>
      <c r="R79" s="3"/>
      <c r="S79" s="3"/>
    </row>
    <row r="80" spans="1:19" x14ac:dyDescent="0.25">
      <c r="A80" s="3" t="s">
        <v>205</v>
      </c>
      <c r="B80" s="3"/>
      <c r="C80" s="3"/>
      <c r="D80" s="3" t="s">
        <v>393</v>
      </c>
      <c r="E80" s="3"/>
      <c r="F80" s="3"/>
      <c r="G80" s="3"/>
      <c r="H80" s="3"/>
      <c r="I80" s="3"/>
      <c r="K80" s="3" t="s">
        <v>205</v>
      </c>
      <c r="L80" s="3"/>
      <c r="M80" s="3"/>
      <c r="N80" s="3" t="s">
        <v>394</v>
      </c>
      <c r="O80" s="3"/>
      <c r="P80" s="3"/>
      <c r="Q80" s="3"/>
      <c r="R80" s="3"/>
      <c r="S80" s="3"/>
    </row>
    <row r="81" spans="1:19" ht="15" customHeight="1" x14ac:dyDescent="0.25">
      <c r="A81" s="3"/>
      <c r="B81" s="5" t="s">
        <v>440</v>
      </c>
      <c r="C81" s="3"/>
      <c r="D81" s="3"/>
      <c r="E81" s="3"/>
      <c r="F81" s="3"/>
      <c r="G81" s="3"/>
      <c r="H81" s="3"/>
      <c r="I81" s="3"/>
      <c r="J81" s="3"/>
      <c r="K81" s="3"/>
      <c r="L81" s="5" t="s">
        <v>440</v>
      </c>
      <c r="M81" s="3"/>
      <c r="N81" s="3"/>
      <c r="O81" s="3"/>
      <c r="P81" s="3"/>
      <c r="Q81" s="3"/>
      <c r="R81" s="3"/>
      <c r="S81" s="3"/>
    </row>
    <row r="82" spans="1:19" ht="20.25" customHeight="1" thickBot="1" x14ac:dyDescent="0.3">
      <c r="A82" s="3"/>
      <c r="B82" s="5" t="s">
        <v>206</v>
      </c>
      <c r="C82" s="3"/>
      <c r="D82" s="3"/>
      <c r="E82" s="3"/>
      <c r="F82" s="3">
        <v>2134</v>
      </c>
      <c r="G82" s="3" t="s">
        <v>207</v>
      </c>
      <c r="H82" s="3"/>
      <c r="I82" s="3"/>
      <c r="J82" s="3"/>
      <c r="K82" s="3"/>
      <c r="L82" s="5" t="s">
        <v>206</v>
      </c>
      <c r="M82" s="3"/>
      <c r="N82" s="3"/>
      <c r="O82" s="3"/>
      <c r="P82" s="3">
        <v>1473.3</v>
      </c>
      <c r="Q82" s="3" t="s">
        <v>207</v>
      </c>
      <c r="R82" s="3"/>
      <c r="S82" s="3"/>
    </row>
    <row r="83" spans="1:19" ht="15" customHeight="1" x14ac:dyDescent="0.25">
      <c r="A83" s="175" t="s">
        <v>209</v>
      </c>
      <c r="B83" s="177" t="s">
        <v>210</v>
      </c>
      <c r="C83" s="178"/>
      <c r="D83" s="178"/>
      <c r="E83" s="178"/>
      <c r="F83" s="178"/>
      <c r="G83" s="180" t="s">
        <v>441</v>
      </c>
      <c r="H83" s="181"/>
      <c r="I83" s="175" t="s">
        <v>212</v>
      </c>
      <c r="J83" s="31"/>
      <c r="K83" s="175" t="s">
        <v>209</v>
      </c>
      <c r="L83" s="177" t="s">
        <v>210</v>
      </c>
      <c r="M83" s="178"/>
      <c r="N83" s="178"/>
      <c r="O83" s="178"/>
      <c r="P83" s="178"/>
      <c r="Q83" s="180" t="s">
        <v>441</v>
      </c>
      <c r="R83" s="181"/>
      <c r="S83" s="175" t="s">
        <v>212</v>
      </c>
    </row>
    <row r="84" spans="1:19" ht="54" customHeight="1" thickBot="1" x14ac:dyDescent="0.3">
      <c r="A84" s="176"/>
      <c r="B84" s="179"/>
      <c r="C84" s="179"/>
      <c r="D84" s="179"/>
      <c r="E84" s="179"/>
      <c r="F84" s="179"/>
      <c r="G84" s="182"/>
      <c r="H84" s="183"/>
      <c r="I84" s="184"/>
      <c r="J84" s="32"/>
      <c r="K84" s="176"/>
      <c r="L84" s="179"/>
      <c r="M84" s="179"/>
      <c r="N84" s="179"/>
      <c r="O84" s="179"/>
      <c r="P84" s="179"/>
      <c r="Q84" s="182"/>
      <c r="R84" s="183"/>
      <c r="S84" s="184"/>
    </row>
    <row r="85" spans="1:19" ht="15" customHeight="1" x14ac:dyDescent="0.25">
      <c r="A85" s="185" t="s">
        <v>213</v>
      </c>
      <c r="B85" s="187" t="s">
        <v>354</v>
      </c>
      <c r="C85" s="188"/>
      <c r="D85" s="188"/>
      <c r="E85" s="188"/>
      <c r="F85" s="188"/>
      <c r="G85" s="190">
        <v>50177.88</v>
      </c>
      <c r="H85" s="191"/>
      <c r="I85" s="192"/>
      <c r="J85" s="33"/>
      <c r="K85" s="185" t="s">
        <v>213</v>
      </c>
      <c r="L85" s="187" t="s">
        <v>354</v>
      </c>
      <c r="M85" s="188"/>
      <c r="N85" s="188"/>
      <c r="O85" s="188"/>
      <c r="P85" s="188"/>
      <c r="Q85" s="190">
        <v>16027.71</v>
      </c>
      <c r="R85" s="191"/>
      <c r="S85" s="192"/>
    </row>
    <row r="86" spans="1:19" ht="13.5" customHeight="1" thickBot="1" x14ac:dyDescent="0.3">
      <c r="A86" s="186"/>
      <c r="B86" s="189"/>
      <c r="C86" s="189"/>
      <c r="D86" s="189"/>
      <c r="E86" s="189"/>
      <c r="F86" s="189"/>
      <c r="G86" s="193"/>
      <c r="H86" s="194"/>
      <c r="I86" s="128"/>
      <c r="J86" s="34"/>
      <c r="K86" s="186"/>
      <c r="L86" s="189"/>
      <c r="M86" s="189"/>
      <c r="N86" s="189"/>
      <c r="O86" s="189"/>
      <c r="P86" s="189"/>
      <c r="Q86" s="193"/>
      <c r="R86" s="194"/>
      <c r="S86" s="128"/>
    </row>
    <row r="87" spans="1:19" ht="13.5" customHeight="1" x14ac:dyDescent="0.25">
      <c r="A87" s="6"/>
      <c r="B87" s="161" t="s">
        <v>214</v>
      </c>
      <c r="C87" s="162"/>
      <c r="D87" s="162"/>
      <c r="E87" s="162"/>
      <c r="F87" s="162"/>
      <c r="G87" s="163">
        <f>1.29*12*F82</f>
        <v>33034.32</v>
      </c>
      <c r="H87" s="164"/>
      <c r="I87" s="169" t="s">
        <v>215</v>
      </c>
      <c r="J87" s="35"/>
      <c r="K87" s="6"/>
      <c r="L87" s="161" t="s">
        <v>214</v>
      </c>
      <c r="M87" s="162"/>
      <c r="N87" s="162"/>
      <c r="O87" s="162"/>
      <c r="P87" s="162"/>
      <c r="Q87" s="163">
        <f>1.29*12*P82</f>
        <v>22806.684000000001</v>
      </c>
      <c r="R87" s="164"/>
      <c r="S87" s="169" t="s">
        <v>215</v>
      </c>
    </row>
    <row r="88" spans="1:19" ht="42" customHeight="1" thickBot="1" x14ac:dyDescent="0.3">
      <c r="A88" s="7"/>
      <c r="B88" s="171" t="s">
        <v>216</v>
      </c>
      <c r="C88" s="172"/>
      <c r="D88" s="172"/>
      <c r="E88" s="172"/>
      <c r="F88" s="172"/>
      <c r="G88" s="165"/>
      <c r="H88" s="166"/>
      <c r="I88" s="170"/>
      <c r="J88" s="36"/>
      <c r="K88" s="7"/>
      <c r="L88" s="171" t="s">
        <v>216</v>
      </c>
      <c r="M88" s="172"/>
      <c r="N88" s="172"/>
      <c r="O88" s="172"/>
      <c r="P88" s="172"/>
      <c r="Q88" s="165"/>
      <c r="R88" s="166"/>
      <c r="S88" s="170"/>
    </row>
    <row r="89" spans="1:19" ht="13.5" customHeight="1" thickBot="1" x14ac:dyDescent="0.3">
      <c r="A89" s="7"/>
      <c r="B89" s="173" t="s">
        <v>217</v>
      </c>
      <c r="C89" s="174"/>
      <c r="D89" s="174"/>
      <c r="E89" s="174"/>
      <c r="F89" s="174"/>
      <c r="G89" s="167"/>
      <c r="H89" s="168"/>
      <c r="I89" s="8" t="s">
        <v>218</v>
      </c>
      <c r="J89" s="36"/>
      <c r="K89" s="7"/>
      <c r="L89" s="173" t="s">
        <v>217</v>
      </c>
      <c r="M89" s="174"/>
      <c r="N89" s="174"/>
      <c r="O89" s="174"/>
      <c r="P89" s="174"/>
      <c r="Q89" s="167"/>
      <c r="R89" s="168"/>
      <c r="S89" s="8" t="s">
        <v>218</v>
      </c>
    </row>
    <row r="90" spans="1:19" ht="18.75" customHeight="1" thickBot="1" x14ac:dyDescent="0.3">
      <c r="A90" s="7"/>
      <c r="B90" s="141" t="s">
        <v>219</v>
      </c>
      <c r="C90" s="142"/>
      <c r="D90" s="142"/>
      <c r="E90" s="142"/>
      <c r="F90" s="142"/>
      <c r="G90" s="143">
        <v>0</v>
      </c>
      <c r="H90" s="144"/>
      <c r="I90" s="8" t="s">
        <v>220</v>
      </c>
      <c r="J90" s="37"/>
      <c r="K90" s="7"/>
      <c r="L90" s="141" t="s">
        <v>219</v>
      </c>
      <c r="M90" s="142"/>
      <c r="N90" s="142"/>
      <c r="O90" s="142"/>
      <c r="P90" s="142"/>
      <c r="Q90" s="143">
        <v>0</v>
      </c>
      <c r="R90" s="144"/>
      <c r="S90" s="8" t="s">
        <v>220</v>
      </c>
    </row>
    <row r="91" spans="1:19" ht="18.75" customHeight="1" thickBot="1" x14ac:dyDescent="0.3">
      <c r="A91" s="7"/>
      <c r="B91" s="141" t="s">
        <v>221</v>
      </c>
      <c r="C91" s="142"/>
      <c r="D91" s="142"/>
      <c r="E91" s="142"/>
      <c r="F91" s="142"/>
      <c r="G91" s="143">
        <f>0.47*12*F82</f>
        <v>12035.76</v>
      </c>
      <c r="H91" s="144"/>
      <c r="I91" s="8" t="s">
        <v>222</v>
      </c>
      <c r="J91" s="38"/>
      <c r="K91" s="7"/>
      <c r="L91" s="141" t="s">
        <v>221</v>
      </c>
      <c r="M91" s="142"/>
      <c r="N91" s="142"/>
      <c r="O91" s="142"/>
      <c r="P91" s="142"/>
      <c r="Q91" s="143">
        <f>0.25*12*P82</f>
        <v>4419.8999999999996</v>
      </c>
      <c r="R91" s="144"/>
      <c r="S91" s="8" t="s">
        <v>222</v>
      </c>
    </row>
    <row r="92" spans="1:19" ht="13.5" customHeight="1" x14ac:dyDescent="0.25">
      <c r="A92" s="9"/>
      <c r="B92" s="145" t="s">
        <v>223</v>
      </c>
      <c r="C92" s="146"/>
      <c r="D92" s="146"/>
      <c r="E92" s="146"/>
      <c r="F92" s="146"/>
      <c r="G92" s="86">
        <f>1.45*12*F82</f>
        <v>37131.599999999999</v>
      </c>
      <c r="H92" s="147"/>
      <c r="I92" s="152" t="s">
        <v>224</v>
      </c>
      <c r="J92" s="38"/>
      <c r="K92" s="9"/>
      <c r="L92" s="145" t="s">
        <v>223</v>
      </c>
      <c r="M92" s="146"/>
      <c r="N92" s="146"/>
      <c r="O92" s="146"/>
      <c r="P92" s="146"/>
      <c r="Q92" s="86">
        <f>1.59*12*P82</f>
        <v>28110.564000000002</v>
      </c>
      <c r="R92" s="147"/>
      <c r="S92" s="152" t="s">
        <v>224</v>
      </c>
    </row>
    <row r="93" spans="1:19" ht="13.5" customHeight="1" x14ac:dyDescent="0.25">
      <c r="A93" s="10"/>
      <c r="B93" s="155" t="s">
        <v>226</v>
      </c>
      <c r="C93" s="156"/>
      <c r="D93" s="156"/>
      <c r="E93" s="156"/>
      <c r="F93" s="156"/>
      <c r="G93" s="148"/>
      <c r="H93" s="149"/>
      <c r="I93" s="153"/>
      <c r="J93" s="39"/>
      <c r="K93" s="10"/>
      <c r="L93" s="155" t="s">
        <v>226</v>
      </c>
      <c r="M93" s="156"/>
      <c r="N93" s="156"/>
      <c r="O93" s="156"/>
      <c r="P93" s="156"/>
      <c r="Q93" s="148"/>
      <c r="R93" s="149"/>
      <c r="S93" s="153"/>
    </row>
    <row r="94" spans="1:19" ht="13.5" customHeight="1" thickBot="1" x14ac:dyDescent="0.3">
      <c r="A94" s="10"/>
      <c r="B94" s="157" t="s">
        <v>227</v>
      </c>
      <c r="C94" s="158"/>
      <c r="D94" s="158"/>
      <c r="E94" s="158"/>
      <c r="F94" s="158"/>
      <c r="G94" s="148"/>
      <c r="H94" s="149"/>
      <c r="I94" s="154"/>
      <c r="J94" s="36"/>
      <c r="K94" s="10"/>
      <c r="L94" s="157" t="s">
        <v>227</v>
      </c>
      <c r="M94" s="158"/>
      <c r="N94" s="158"/>
      <c r="O94" s="158"/>
      <c r="P94" s="158"/>
      <c r="Q94" s="148"/>
      <c r="R94" s="149"/>
      <c r="S94" s="154"/>
    </row>
    <row r="95" spans="1:19" ht="13.5" customHeight="1" thickBot="1" x14ac:dyDescent="0.3">
      <c r="A95" s="10"/>
      <c r="B95" s="159" t="s">
        <v>228</v>
      </c>
      <c r="C95" s="160"/>
      <c r="D95" s="160"/>
      <c r="E95" s="160"/>
      <c r="F95" s="160"/>
      <c r="G95" s="150"/>
      <c r="H95" s="151"/>
      <c r="I95" s="11" t="s">
        <v>229</v>
      </c>
      <c r="J95" s="36"/>
      <c r="K95" s="10"/>
      <c r="L95" s="159" t="s">
        <v>228</v>
      </c>
      <c r="M95" s="160"/>
      <c r="N95" s="160"/>
      <c r="O95" s="160"/>
      <c r="P95" s="160"/>
      <c r="Q95" s="150"/>
      <c r="R95" s="151"/>
      <c r="S95" s="11" t="s">
        <v>229</v>
      </c>
    </row>
    <row r="96" spans="1:19" ht="13.5" customHeight="1" x14ac:dyDescent="0.25">
      <c r="A96" s="12"/>
      <c r="B96" s="125" t="s">
        <v>230</v>
      </c>
      <c r="C96" s="126"/>
      <c r="D96" s="126"/>
      <c r="E96" s="126"/>
      <c r="F96" s="126"/>
      <c r="G96" s="86">
        <f>0.03*12*F82</f>
        <v>768.24</v>
      </c>
      <c r="H96" s="87"/>
      <c r="I96" s="129" t="s">
        <v>220</v>
      </c>
      <c r="J96" s="36"/>
      <c r="K96" s="12"/>
      <c r="L96" s="125" t="s">
        <v>230</v>
      </c>
      <c r="M96" s="126"/>
      <c r="N96" s="126"/>
      <c r="O96" s="126"/>
      <c r="P96" s="126"/>
      <c r="Q96" s="86">
        <f>0.02*12*P82</f>
        <v>353.59199999999998</v>
      </c>
      <c r="R96" s="87"/>
      <c r="S96" s="129" t="s">
        <v>220</v>
      </c>
    </row>
    <row r="97" spans="1:19" ht="15.75" customHeight="1" thickBot="1" x14ac:dyDescent="0.3">
      <c r="A97" s="7"/>
      <c r="B97" s="131" t="s">
        <v>231</v>
      </c>
      <c r="C97" s="132"/>
      <c r="D97" s="132"/>
      <c r="E97" s="132"/>
      <c r="F97" s="132"/>
      <c r="G97" s="127"/>
      <c r="H97" s="128"/>
      <c r="I97" s="130"/>
      <c r="J97" s="36"/>
      <c r="K97" s="7"/>
      <c r="L97" s="131" t="s">
        <v>231</v>
      </c>
      <c r="M97" s="132"/>
      <c r="N97" s="132"/>
      <c r="O97" s="132"/>
      <c r="P97" s="132"/>
      <c r="Q97" s="127"/>
      <c r="R97" s="128"/>
      <c r="S97" s="130"/>
    </row>
    <row r="98" spans="1:19" ht="15.75" customHeight="1" thickBot="1" x14ac:dyDescent="0.3">
      <c r="A98" s="13"/>
      <c r="B98" s="133" t="s">
        <v>232</v>
      </c>
      <c r="C98" s="134"/>
      <c r="D98" s="134"/>
      <c r="E98" s="134"/>
      <c r="F98" s="134"/>
      <c r="G98" s="135"/>
      <c r="H98" s="136"/>
      <c r="I98" s="14"/>
      <c r="J98" s="40"/>
      <c r="K98" s="13"/>
      <c r="L98" s="133" t="s">
        <v>232</v>
      </c>
      <c r="M98" s="134"/>
      <c r="N98" s="134"/>
      <c r="O98" s="134"/>
      <c r="P98" s="134"/>
      <c r="Q98" s="135"/>
      <c r="R98" s="136"/>
      <c r="S98" s="14"/>
    </row>
    <row r="99" spans="1:19" ht="15.75" thickBot="1" x14ac:dyDescent="0.3">
      <c r="A99" s="13"/>
      <c r="B99" s="84" t="s">
        <v>233</v>
      </c>
      <c r="C99" s="85"/>
      <c r="D99" s="85"/>
      <c r="E99" s="85"/>
      <c r="F99" s="85"/>
      <c r="G99" s="86">
        <f>1.03*12*F82</f>
        <v>26376.239999999998</v>
      </c>
      <c r="H99" s="87"/>
      <c r="I99" s="317" t="s">
        <v>629</v>
      </c>
      <c r="J99" s="41"/>
      <c r="K99" s="13"/>
      <c r="L99" s="84" t="s">
        <v>233</v>
      </c>
      <c r="M99" s="85"/>
      <c r="N99" s="85"/>
      <c r="O99" s="85"/>
      <c r="P99" s="85"/>
      <c r="Q99" s="86">
        <f>1.35*12*P82</f>
        <v>23867.460000000003</v>
      </c>
      <c r="R99" s="87"/>
      <c r="S99" s="92" t="s">
        <v>631</v>
      </c>
    </row>
    <row r="100" spans="1:19" ht="17.25" customHeight="1" x14ac:dyDescent="0.25">
      <c r="A100" s="118"/>
      <c r="B100" s="121" t="s">
        <v>226</v>
      </c>
      <c r="C100" s="122"/>
      <c r="D100" s="122"/>
      <c r="E100" s="122"/>
      <c r="F100" s="122"/>
      <c r="G100" s="88"/>
      <c r="H100" s="89"/>
      <c r="I100" s="318"/>
      <c r="J100" s="41"/>
      <c r="K100" s="118"/>
      <c r="L100" s="121" t="s">
        <v>226</v>
      </c>
      <c r="M100" s="122"/>
      <c r="N100" s="122"/>
      <c r="O100" s="122"/>
      <c r="P100" s="122"/>
      <c r="Q100" s="88"/>
      <c r="R100" s="89"/>
      <c r="S100" s="93"/>
    </row>
    <row r="101" spans="1:19" ht="33" customHeight="1" x14ac:dyDescent="0.25">
      <c r="A101" s="119"/>
      <c r="B101" s="121" t="s">
        <v>227</v>
      </c>
      <c r="C101" s="122"/>
      <c r="D101" s="122"/>
      <c r="E101" s="122"/>
      <c r="F101" s="122"/>
      <c r="G101" s="88"/>
      <c r="H101" s="89"/>
      <c r="I101" s="318"/>
      <c r="J101" s="41"/>
      <c r="K101" s="119"/>
      <c r="L101" s="121" t="s">
        <v>227</v>
      </c>
      <c r="M101" s="122"/>
      <c r="N101" s="122"/>
      <c r="O101" s="122"/>
      <c r="P101" s="122"/>
      <c r="Q101" s="88"/>
      <c r="R101" s="89"/>
      <c r="S101" s="93"/>
    </row>
    <row r="102" spans="1:19" ht="45.95" customHeight="1" x14ac:dyDescent="0.25">
      <c r="A102" s="119"/>
      <c r="B102" s="121" t="s">
        <v>228</v>
      </c>
      <c r="C102" s="122"/>
      <c r="D102" s="122"/>
      <c r="E102" s="122"/>
      <c r="F102" s="122"/>
      <c r="G102" s="88"/>
      <c r="H102" s="89"/>
      <c r="I102" s="318"/>
      <c r="J102" s="42"/>
      <c r="K102" s="119"/>
      <c r="L102" s="121" t="s">
        <v>228</v>
      </c>
      <c r="M102" s="122"/>
      <c r="N102" s="122"/>
      <c r="O102" s="122"/>
      <c r="P102" s="122"/>
      <c r="Q102" s="88"/>
      <c r="R102" s="89"/>
      <c r="S102" s="93"/>
    </row>
    <row r="103" spans="1:19" ht="63.75" customHeight="1" thickBot="1" x14ac:dyDescent="0.3">
      <c r="A103" s="120"/>
      <c r="B103" s="123" t="s">
        <v>234</v>
      </c>
      <c r="C103" s="124"/>
      <c r="D103" s="124"/>
      <c r="E103" s="124"/>
      <c r="F103" s="124"/>
      <c r="G103" s="90"/>
      <c r="H103" s="91"/>
      <c r="I103" s="319"/>
      <c r="J103" s="43"/>
      <c r="K103" s="120"/>
      <c r="L103" s="123" t="s">
        <v>234</v>
      </c>
      <c r="M103" s="124"/>
      <c r="N103" s="124"/>
      <c r="O103" s="124"/>
      <c r="P103" s="124"/>
      <c r="Q103" s="90"/>
      <c r="R103" s="91"/>
      <c r="S103" s="94"/>
    </row>
    <row r="104" spans="1:19" ht="1.5" hidden="1" customHeight="1" x14ac:dyDescent="0.25">
      <c r="A104" s="15"/>
      <c r="B104" s="137" t="s">
        <v>248</v>
      </c>
      <c r="C104" s="138"/>
      <c r="D104" s="138"/>
      <c r="E104" s="138"/>
      <c r="F104" s="138"/>
      <c r="G104" s="139"/>
      <c r="H104" s="140"/>
      <c r="I104" s="16"/>
      <c r="J104" s="44"/>
      <c r="K104" s="15"/>
      <c r="L104" s="137" t="s">
        <v>248</v>
      </c>
      <c r="M104" s="138"/>
      <c r="N104" s="138"/>
      <c r="O104" s="138"/>
      <c r="P104" s="138"/>
      <c r="Q104" s="139"/>
      <c r="R104" s="140"/>
      <c r="S104" s="16"/>
    </row>
    <row r="105" spans="1:19" ht="38.25" hidden="1" customHeight="1" x14ac:dyDescent="0.25">
      <c r="A105" s="15"/>
      <c r="B105" s="137" t="s">
        <v>235</v>
      </c>
      <c r="C105" s="138"/>
      <c r="D105" s="138"/>
      <c r="E105" s="138"/>
      <c r="F105" s="138"/>
      <c r="G105" s="139"/>
      <c r="H105" s="140"/>
      <c r="I105" s="16"/>
      <c r="J105" s="40"/>
      <c r="K105" s="15"/>
      <c r="L105" s="137" t="s">
        <v>235</v>
      </c>
      <c r="M105" s="138"/>
      <c r="N105" s="138"/>
      <c r="O105" s="138"/>
      <c r="P105" s="138"/>
      <c r="Q105" s="139"/>
      <c r="R105" s="140"/>
      <c r="S105" s="16"/>
    </row>
    <row r="106" spans="1:19" ht="37.5" customHeight="1" thickBot="1" x14ac:dyDescent="0.3">
      <c r="A106" s="17"/>
      <c r="B106" s="78" t="s">
        <v>237</v>
      </c>
      <c r="C106" s="79"/>
      <c r="D106" s="79"/>
      <c r="E106" s="79"/>
      <c r="F106" s="79"/>
      <c r="G106" s="86">
        <v>23864</v>
      </c>
      <c r="H106" s="87"/>
      <c r="I106" s="108" t="s">
        <v>229</v>
      </c>
      <c r="J106" s="27"/>
      <c r="K106" s="17"/>
      <c r="L106" s="78" t="s">
        <v>237</v>
      </c>
      <c r="M106" s="79"/>
      <c r="N106" s="79"/>
      <c r="O106" s="79"/>
      <c r="P106" s="79"/>
      <c r="Q106" s="86">
        <v>13258</v>
      </c>
      <c r="R106" s="87"/>
      <c r="S106" s="108" t="s">
        <v>229</v>
      </c>
    </row>
    <row r="107" spans="1:19" ht="15" customHeight="1" thickBot="1" x14ac:dyDescent="0.3">
      <c r="A107" s="18"/>
      <c r="B107" s="110" t="s">
        <v>238</v>
      </c>
      <c r="C107" s="111"/>
      <c r="D107" s="111"/>
      <c r="E107" s="111"/>
      <c r="F107" s="111"/>
      <c r="G107" s="90"/>
      <c r="H107" s="91"/>
      <c r="I107" s="109"/>
      <c r="J107" s="45"/>
      <c r="K107" s="18"/>
      <c r="L107" s="110" t="s">
        <v>238</v>
      </c>
      <c r="M107" s="111"/>
      <c r="N107" s="111"/>
      <c r="O107" s="111"/>
      <c r="P107" s="111"/>
      <c r="Q107" s="90"/>
      <c r="R107" s="91"/>
      <c r="S107" s="109"/>
    </row>
    <row r="108" spans="1:19" ht="24" customHeight="1" thickBot="1" x14ac:dyDescent="0.3">
      <c r="A108" s="19"/>
      <c r="B108" s="112" t="s">
        <v>239</v>
      </c>
      <c r="C108" s="113"/>
      <c r="D108" s="113"/>
      <c r="E108" s="113"/>
      <c r="F108" s="113"/>
      <c r="G108" s="114">
        <f>SUM(G87:H107)</f>
        <v>133210.16</v>
      </c>
      <c r="H108" s="115"/>
      <c r="I108" s="20"/>
      <c r="J108" s="46"/>
      <c r="K108" s="19"/>
      <c r="L108" s="112" t="s">
        <v>239</v>
      </c>
      <c r="M108" s="113"/>
      <c r="N108" s="113"/>
      <c r="O108" s="113"/>
      <c r="P108" s="113"/>
      <c r="Q108" s="114">
        <f>SUM(Q87:R107)</f>
        <v>92816.2</v>
      </c>
      <c r="R108" s="115"/>
      <c r="S108" s="20"/>
    </row>
    <row r="109" spans="1:19" ht="24" customHeight="1" thickBot="1" x14ac:dyDescent="0.3">
      <c r="A109" s="21"/>
      <c r="B109" s="101" t="s">
        <v>240</v>
      </c>
      <c r="C109" s="102"/>
      <c r="D109" s="102"/>
      <c r="E109" s="102"/>
      <c r="F109" s="102"/>
      <c r="G109" s="116">
        <f>G108*1.2</f>
        <v>159852.19200000001</v>
      </c>
      <c r="H109" s="117"/>
      <c r="I109" s="22"/>
      <c r="J109" s="47"/>
      <c r="K109" s="21"/>
      <c r="L109" s="101" t="s">
        <v>240</v>
      </c>
      <c r="M109" s="102"/>
      <c r="N109" s="102"/>
      <c r="O109" s="102"/>
      <c r="P109" s="102"/>
      <c r="Q109" s="116">
        <f>Q108*1.2</f>
        <v>111379.43999999999</v>
      </c>
      <c r="R109" s="117"/>
      <c r="S109" s="22"/>
    </row>
    <row r="110" spans="1:19" ht="24" customHeight="1" thickBot="1" x14ac:dyDescent="0.3">
      <c r="A110" s="24"/>
      <c r="B110" s="96" t="s">
        <v>443</v>
      </c>
      <c r="C110" s="97"/>
      <c r="D110" s="97"/>
      <c r="E110" s="97"/>
      <c r="F110" s="97"/>
      <c r="G110" s="311">
        <v>158605.79999999999</v>
      </c>
      <c r="H110" s="312"/>
      <c r="I110" s="313"/>
      <c r="J110" s="47"/>
      <c r="K110" s="24"/>
      <c r="L110" s="96" t="s">
        <v>443</v>
      </c>
      <c r="M110" s="97"/>
      <c r="N110" s="97"/>
      <c r="O110" s="97"/>
      <c r="P110" s="97"/>
      <c r="Q110" s="311">
        <v>111466.32</v>
      </c>
      <c r="R110" s="312"/>
      <c r="S110" s="313"/>
    </row>
    <row r="111" spans="1:19" ht="24" customHeight="1" thickBot="1" x14ac:dyDescent="0.3">
      <c r="A111" s="19"/>
      <c r="B111" s="101" t="s">
        <v>242</v>
      </c>
      <c r="C111" s="102"/>
      <c r="D111" s="102"/>
      <c r="E111" s="102"/>
      <c r="F111" s="102"/>
      <c r="G111" s="307">
        <v>167105.39000000001</v>
      </c>
      <c r="H111" s="308"/>
      <c r="I111" s="309"/>
      <c r="J111" s="47"/>
      <c r="K111" s="19"/>
      <c r="L111" s="101" t="s">
        <v>242</v>
      </c>
      <c r="M111" s="102"/>
      <c r="N111" s="102"/>
      <c r="O111" s="102"/>
      <c r="P111" s="102"/>
      <c r="Q111" s="307">
        <v>108026.54</v>
      </c>
      <c r="R111" s="308"/>
      <c r="S111" s="309"/>
    </row>
    <row r="112" spans="1:19" ht="24" customHeight="1" thickBot="1" x14ac:dyDescent="0.3">
      <c r="A112" s="19"/>
      <c r="B112" s="106" t="s">
        <v>444</v>
      </c>
      <c r="C112" s="107"/>
      <c r="D112" s="107"/>
      <c r="E112" s="107"/>
      <c r="F112" s="107"/>
      <c r="G112" s="307">
        <v>41678.29</v>
      </c>
      <c r="H112" s="308"/>
      <c r="I112" s="309"/>
      <c r="J112" s="47"/>
      <c r="K112" s="19"/>
      <c r="L112" s="106" t="s">
        <v>444</v>
      </c>
      <c r="M112" s="107"/>
      <c r="N112" s="107"/>
      <c r="O112" s="107"/>
      <c r="P112" s="107"/>
      <c r="Q112" s="307">
        <v>19167.490000000002</v>
      </c>
      <c r="R112" s="308"/>
      <c r="S112" s="309"/>
    </row>
    <row r="113" spans="1:19" ht="38.450000000000003" customHeight="1" x14ac:dyDescent="0.25">
      <c r="A113" s="4"/>
      <c r="B113" s="26"/>
      <c r="C113" s="26"/>
      <c r="D113" s="26"/>
      <c r="E113" s="26"/>
      <c r="F113" s="26"/>
      <c r="G113" s="27"/>
      <c r="H113" s="3"/>
      <c r="I113" s="3"/>
      <c r="K113" s="4"/>
      <c r="L113" s="195" t="s">
        <v>630</v>
      </c>
      <c r="M113" s="195"/>
      <c r="N113" s="195"/>
      <c r="O113" s="195"/>
      <c r="P113" s="195"/>
      <c r="Q113" s="195"/>
      <c r="R113" s="195"/>
      <c r="S113" s="195"/>
    </row>
    <row r="114" spans="1:19" x14ac:dyDescent="0.25">
      <c r="E114" s="50"/>
      <c r="I114" s="5"/>
      <c r="O114" s="50"/>
      <c r="S114" s="5"/>
    </row>
    <row r="115" spans="1:19" x14ac:dyDescent="0.25">
      <c r="A115" s="3"/>
      <c r="I115" s="5"/>
      <c r="K115" s="3"/>
      <c r="S115" s="5"/>
    </row>
    <row r="116" spans="1:19" ht="15.75" x14ac:dyDescent="0.25">
      <c r="B116" s="30"/>
      <c r="K116" s="30"/>
      <c r="L116" s="30"/>
    </row>
    <row r="117" spans="1:19" ht="15.75" x14ac:dyDescent="0.25">
      <c r="B117" s="30"/>
      <c r="K117" s="30"/>
      <c r="L117" s="30"/>
    </row>
    <row r="118" spans="1:19" x14ac:dyDescent="0.25">
      <c r="A118" s="3"/>
      <c r="B118" s="3"/>
      <c r="C118" s="3"/>
      <c r="D118" s="3"/>
      <c r="E118" s="4" t="s">
        <v>204</v>
      </c>
      <c r="F118" s="3"/>
      <c r="G118" s="3"/>
      <c r="H118" s="3"/>
      <c r="I118" s="3"/>
      <c r="K118" s="3"/>
      <c r="L118" s="3"/>
      <c r="M118" s="3"/>
      <c r="N118" s="3"/>
      <c r="O118" s="4" t="s">
        <v>204</v>
      </c>
      <c r="P118" s="3"/>
      <c r="Q118" s="3"/>
      <c r="R118" s="3"/>
      <c r="S118" s="3"/>
    </row>
    <row r="119" spans="1:19" x14ac:dyDescent="0.25">
      <c r="A119" s="3" t="s">
        <v>205</v>
      </c>
      <c r="B119" s="3"/>
      <c r="C119" s="3"/>
      <c r="D119" s="3" t="s">
        <v>395</v>
      </c>
      <c r="E119" s="3"/>
      <c r="F119" s="3"/>
      <c r="G119" s="3"/>
      <c r="H119" s="3"/>
      <c r="I119" s="3"/>
      <c r="K119" s="3" t="s">
        <v>205</v>
      </c>
      <c r="L119" s="3"/>
      <c r="M119" s="3"/>
      <c r="N119" s="3" t="s">
        <v>396</v>
      </c>
      <c r="O119" s="3"/>
      <c r="P119" s="3"/>
      <c r="Q119" s="3"/>
      <c r="R119" s="3"/>
      <c r="S119" s="3"/>
    </row>
    <row r="120" spans="1:19" ht="15.75" customHeight="1" x14ac:dyDescent="0.25">
      <c r="A120" s="3"/>
      <c r="B120" s="5" t="s">
        <v>440</v>
      </c>
      <c r="C120" s="3"/>
      <c r="D120" s="3"/>
      <c r="E120" s="3"/>
      <c r="F120" s="3"/>
      <c r="G120" s="3"/>
      <c r="H120" s="3"/>
      <c r="I120" s="3"/>
      <c r="K120" s="3"/>
      <c r="L120" s="5" t="s">
        <v>440</v>
      </c>
      <c r="M120" s="3"/>
      <c r="N120" s="3"/>
      <c r="O120" s="3"/>
      <c r="P120" s="3"/>
      <c r="Q120" s="3"/>
      <c r="R120" s="3"/>
      <c r="S120" s="3"/>
    </row>
    <row r="121" spans="1:19" ht="19.5" customHeight="1" thickBot="1" x14ac:dyDescent="0.3">
      <c r="A121" s="3"/>
      <c r="B121" s="5" t="s">
        <v>206</v>
      </c>
      <c r="C121" s="3"/>
      <c r="D121" s="3"/>
      <c r="E121" s="3"/>
      <c r="F121" s="3">
        <v>1468.2</v>
      </c>
      <c r="G121" s="3" t="s">
        <v>207</v>
      </c>
      <c r="H121" s="3"/>
      <c r="I121" s="3"/>
      <c r="J121" s="3"/>
      <c r="K121" s="3"/>
      <c r="L121" s="5" t="s">
        <v>206</v>
      </c>
      <c r="M121" s="3"/>
      <c r="N121" s="3"/>
      <c r="O121" s="3"/>
      <c r="P121" s="3">
        <v>2507.6</v>
      </c>
      <c r="Q121" s="3" t="s">
        <v>207</v>
      </c>
      <c r="R121" s="3"/>
      <c r="S121" s="3"/>
    </row>
    <row r="122" spans="1:19" ht="21.75" customHeight="1" thickBot="1" x14ac:dyDescent="0.3">
      <c r="A122" s="175" t="s">
        <v>209</v>
      </c>
      <c r="B122" s="177" t="s">
        <v>210</v>
      </c>
      <c r="C122" s="178"/>
      <c r="D122" s="178"/>
      <c r="E122" s="178"/>
      <c r="F122" s="178"/>
      <c r="G122" s="180" t="s">
        <v>441</v>
      </c>
      <c r="H122" s="181"/>
      <c r="I122" s="175" t="s">
        <v>212</v>
      </c>
      <c r="J122" s="3"/>
      <c r="K122" s="175" t="s">
        <v>209</v>
      </c>
      <c r="L122" s="177" t="s">
        <v>210</v>
      </c>
      <c r="M122" s="178"/>
      <c r="N122" s="178"/>
      <c r="O122" s="178"/>
      <c r="P122" s="178"/>
      <c r="Q122" s="180" t="s">
        <v>441</v>
      </c>
      <c r="R122" s="181"/>
      <c r="S122" s="175" t="s">
        <v>212</v>
      </c>
    </row>
    <row r="123" spans="1:19" ht="35.25" customHeight="1" thickBot="1" x14ac:dyDescent="0.3">
      <c r="A123" s="176"/>
      <c r="B123" s="179"/>
      <c r="C123" s="179"/>
      <c r="D123" s="179"/>
      <c r="E123" s="179"/>
      <c r="F123" s="179"/>
      <c r="G123" s="182"/>
      <c r="H123" s="183"/>
      <c r="I123" s="184"/>
      <c r="J123" s="31"/>
      <c r="K123" s="176"/>
      <c r="L123" s="179"/>
      <c r="M123" s="179"/>
      <c r="N123" s="179"/>
      <c r="O123" s="179"/>
      <c r="P123" s="179"/>
      <c r="Q123" s="182"/>
      <c r="R123" s="183"/>
      <c r="S123" s="184"/>
    </row>
    <row r="124" spans="1:19" ht="16.5" customHeight="1" thickBot="1" x14ac:dyDescent="0.3">
      <c r="A124" s="185" t="s">
        <v>213</v>
      </c>
      <c r="B124" s="187" t="s">
        <v>354</v>
      </c>
      <c r="C124" s="188"/>
      <c r="D124" s="188"/>
      <c r="E124" s="188"/>
      <c r="F124" s="188"/>
      <c r="G124" s="190">
        <v>7654.83</v>
      </c>
      <c r="H124" s="191"/>
      <c r="I124" s="192"/>
      <c r="J124" s="32"/>
      <c r="K124" s="185" t="s">
        <v>213</v>
      </c>
      <c r="L124" s="187" t="s">
        <v>354</v>
      </c>
      <c r="M124" s="188"/>
      <c r="N124" s="188"/>
      <c r="O124" s="188"/>
      <c r="P124" s="188"/>
      <c r="Q124" s="190">
        <v>35233.14</v>
      </c>
      <c r="R124" s="191"/>
      <c r="S124" s="192"/>
    </row>
    <row r="125" spans="1:19" ht="13.5" customHeight="1" thickBot="1" x14ac:dyDescent="0.3">
      <c r="A125" s="186"/>
      <c r="B125" s="189"/>
      <c r="C125" s="189"/>
      <c r="D125" s="189"/>
      <c r="E125" s="189"/>
      <c r="F125" s="189"/>
      <c r="G125" s="193"/>
      <c r="H125" s="194"/>
      <c r="I125" s="128"/>
      <c r="J125" s="33"/>
      <c r="K125" s="186"/>
      <c r="L125" s="189"/>
      <c r="M125" s="189"/>
      <c r="N125" s="189"/>
      <c r="O125" s="189"/>
      <c r="P125" s="189"/>
      <c r="Q125" s="193"/>
      <c r="R125" s="194"/>
      <c r="S125" s="128"/>
    </row>
    <row r="126" spans="1:19" ht="13.5" customHeight="1" x14ac:dyDescent="0.25">
      <c r="A126" s="6"/>
      <c r="B126" s="161" t="s">
        <v>214</v>
      </c>
      <c r="C126" s="162"/>
      <c r="D126" s="162"/>
      <c r="E126" s="162"/>
      <c r="F126" s="162"/>
      <c r="G126" s="163">
        <f>1.31*12*F121</f>
        <v>23080.104000000003</v>
      </c>
      <c r="H126" s="164"/>
      <c r="I126" s="169" t="s">
        <v>215</v>
      </c>
      <c r="J126" s="36"/>
      <c r="K126" s="6"/>
      <c r="L126" s="161" t="s">
        <v>214</v>
      </c>
      <c r="M126" s="162"/>
      <c r="N126" s="162"/>
      <c r="O126" s="162"/>
      <c r="P126" s="162"/>
      <c r="Q126" s="163">
        <f>1.27*12*P121</f>
        <v>38215.824000000001</v>
      </c>
      <c r="R126" s="164"/>
      <c r="S126" s="169" t="s">
        <v>215</v>
      </c>
    </row>
    <row r="127" spans="1:19" ht="43.5" customHeight="1" thickBot="1" x14ac:dyDescent="0.3">
      <c r="A127" s="7"/>
      <c r="B127" s="171" t="s">
        <v>216</v>
      </c>
      <c r="C127" s="172"/>
      <c r="D127" s="172"/>
      <c r="E127" s="172"/>
      <c r="F127" s="172"/>
      <c r="G127" s="165"/>
      <c r="H127" s="166"/>
      <c r="I127" s="170"/>
      <c r="J127" s="35"/>
      <c r="K127" s="7"/>
      <c r="L127" s="171" t="s">
        <v>216</v>
      </c>
      <c r="M127" s="172"/>
      <c r="N127" s="172"/>
      <c r="O127" s="172"/>
      <c r="P127" s="172"/>
      <c r="Q127" s="165"/>
      <c r="R127" s="166"/>
      <c r="S127" s="170"/>
    </row>
    <row r="128" spans="1:19" ht="13.5" customHeight="1" thickBot="1" x14ac:dyDescent="0.3">
      <c r="A128" s="7"/>
      <c r="B128" s="173" t="s">
        <v>217</v>
      </c>
      <c r="C128" s="174"/>
      <c r="D128" s="174"/>
      <c r="E128" s="174"/>
      <c r="F128" s="174"/>
      <c r="G128" s="167"/>
      <c r="H128" s="168"/>
      <c r="I128" s="8" t="s">
        <v>218</v>
      </c>
      <c r="J128" s="36"/>
      <c r="K128" s="7"/>
      <c r="L128" s="173" t="s">
        <v>217</v>
      </c>
      <c r="M128" s="174"/>
      <c r="N128" s="174"/>
      <c r="O128" s="174"/>
      <c r="P128" s="174"/>
      <c r="Q128" s="167"/>
      <c r="R128" s="168"/>
      <c r="S128" s="8" t="s">
        <v>218</v>
      </c>
    </row>
    <row r="129" spans="1:19" ht="13.5" customHeight="1" thickBot="1" x14ac:dyDescent="0.3">
      <c r="A129" s="7"/>
      <c r="B129" s="141" t="s">
        <v>219</v>
      </c>
      <c r="C129" s="142"/>
      <c r="D129" s="142"/>
      <c r="E129" s="142"/>
      <c r="F129" s="142"/>
      <c r="G129" s="143">
        <v>0</v>
      </c>
      <c r="H129" s="144"/>
      <c r="I129" s="8" t="s">
        <v>220</v>
      </c>
      <c r="J129" s="36"/>
      <c r="K129" s="7"/>
      <c r="L129" s="141" t="s">
        <v>219</v>
      </c>
      <c r="M129" s="142"/>
      <c r="N129" s="142"/>
      <c r="O129" s="142"/>
      <c r="P129" s="142"/>
      <c r="Q129" s="143">
        <v>0</v>
      </c>
      <c r="R129" s="144"/>
      <c r="S129" s="8" t="s">
        <v>220</v>
      </c>
    </row>
    <row r="130" spans="1:19" ht="13.5" customHeight="1" thickBot="1" x14ac:dyDescent="0.3">
      <c r="A130" s="7"/>
      <c r="B130" s="141" t="s">
        <v>221</v>
      </c>
      <c r="C130" s="142"/>
      <c r="D130" s="142"/>
      <c r="E130" s="142"/>
      <c r="F130" s="142"/>
      <c r="G130" s="143">
        <f>0.3*12*F121</f>
        <v>5285.5199999999995</v>
      </c>
      <c r="H130" s="144"/>
      <c r="I130" s="8" t="s">
        <v>222</v>
      </c>
      <c r="J130" s="37"/>
      <c r="K130" s="7"/>
      <c r="L130" s="141" t="s">
        <v>221</v>
      </c>
      <c r="M130" s="142"/>
      <c r="N130" s="142"/>
      <c r="O130" s="142"/>
      <c r="P130" s="142"/>
      <c r="Q130" s="143">
        <f>0.3*12*P121</f>
        <v>9027.3599999999988</v>
      </c>
      <c r="R130" s="144"/>
      <c r="S130" s="8" t="s">
        <v>222</v>
      </c>
    </row>
    <row r="131" spans="1:19" ht="13.5" customHeight="1" x14ac:dyDescent="0.25">
      <c r="A131" s="9"/>
      <c r="B131" s="145" t="s">
        <v>223</v>
      </c>
      <c r="C131" s="146"/>
      <c r="D131" s="146"/>
      <c r="E131" s="146"/>
      <c r="F131" s="146"/>
      <c r="G131" s="86">
        <f>1.69*12*F121</f>
        <v>29775.096000000001</v>
      </c>
      <c r="H131" s="147"/>
      <c r="I131" s="152" t="s">
        <v>224</v>
      </c>
      <c r="J131" s="38"/>
      <c r="K131" s="9"/>
      <c r="L131" s="145" t="s">
        <v>223</v>
      </c>
      <c r="M131" s="146"/>
      <c r="N131" s="146"/>
      <c r="O131" s="146"/>
      <c r="P131" s="146"/>
      <c r="Q131" s="86">
        <f>1.19*12*P121</f>
        <v>35808.527999999998</v>
      </c>
      <c r="R131" s="147"/>
      <c r="S131" s="152" t="s">
        <v>224</v>
      </c>
    </row>
    <row r="132" spans="1:19" ht="13.5" customHeight="1" x14ac:dyDescent="0.25">
      <c r="A132" s="10"/>
      <c r="B132" s="155" t="s">
        <v>226</v>
      </c>
      <c r="C132" s="156"/>
      <c r="D132" s="156"/>
      <c r="E132" s="156"/>
      <c r="F132" s="156"/>
      <c r="G132" s="148"/>
      <c r="H132" s="149"/>
      <c r="I132" s="153"/>
      <c r="J132" s="38"/>
      <c r="K132" s="10"/>
      <c r="L132" s="155" t="s">
        <v>226</v>
      </c>
      <c r="M132" s="156"/>
      <c r="N132" s="156"/>
      <c r="O132" s="156"/>
      <c r="P132" s="156"/>
      <c r="Q132" s="148"/>
      <c r="R132" s="149"/>
      <c r="S132" s="153"/>
    </row>
    <row r="133" spans="1:19" ht="13.5" customHeight="1" thickBot="1" x14ac:dyDescent="0.3">
      <c r="A133" s="10"/>
      <c r="B133" s="157" t="s">
        <v>227</v>
      </c>
      <c r="C133" s="158"/>
      <c r="D133" s="158"/>
      <c r="E133" s="158"/>
      <c r="F133" s="158"/>
      <c r="G133" s="148"/>
      <c r="H133" s="149"/>
      <c r="I133" s="154"/>
      <c r="J133" s="39"/>
      <c r="K133" s="10"/>
      <c r="L133" s="157" t="s">
        <v>227</v>
      </c>
      <c r="M133" s="158"/>
      <c r="N133" s="158"/>
      <c r="O133" s="158"/>
      <c r="P133" s="158"/>
      <c r="Q133" s="148"/>
      <c r="R133" s="149"/>
      <c r="S133" s="154"/>
    </row>
    <row r="134" spans="1:19" ht="13.5" customHeight="1" thickBot="1" x14ac:dyDescent="0.3">
      <c r="A134" s="10"/>
      <c r="B134" s="159" t="s">
        <v>228</v>
      </c>
      <c r="C134" s="160"/>
      <c r="D134" s="160"/>
      <c r="E134" s="160"/>
      <c r="F134" s="160"/>
      <c r="G134" s="150"/>
      <c r="H134" s="151"/>
      <c r="I134" s="11" t="s">
        <v>229</v>
      </c>
      <c r="J134" s="36"/>
      <c r="K134" s="10"/>
      <c r="L134" s="159" t="s">
        <v>228</v>
      </c>
      <c r="M134" s="160"/>
      <c r="N134" s="160"/>
      <c r="O134" s="160"/>
      <c r="P134" s="160"/>
      <c r="Q134" s="150"/>
      <c r="R134" s="151"/>
      <c r="S134" s="11" t="s">
        <v>229</v>
      </c>
    </row>
    <row r="135" spans="1:19" ht="15.75" customHeight="1" x14ac:dyDescent="0.25">
      <c r="A135" s="12"/>
      <c r="B135" s="125" t="s">
        <v>230</v>
      </c>
      <c r="C135" s="126"/>
      <c r="D135" s="126"/>
      <c r="E135" s="126"/>
      <c r="F135" s="126"/>
      <c r="G135" s="86">
        <f>0.02*12*F121</f>
        <v>352.36799999999999</v>
      </c>
      <c r="H135" s="87"/>
      <c r="I135" s="129" t="s">
        <v>220</v>
      </c>
      <c r="J135" s="36"/>
      <c r="K135" s="12"/>
      <c r="L135" s="125" t="s">
        <v>230</v>
      </c>
      <c r="M135" s="126"/>
      <c r="N135" s="126"/>
      <c r="O135" s="126"/>
      <c r="P135" s="126"/>
      <c r="Q135" s="86">
        <f>0.04*12*P121</f>
        <v>1203.6479999999999</v>
      </c>
      <c r="R135" s="87"/>
      <c r="S135" s="129" t="s">
        <v>220</v>
      </c>
    </row>
    <row r="136" spans="1:19" ht="15.75" customHeight="1" thickBot="1" x14ac:dyDescent="0.3">
      <c r="A136" s="7"/>
      <c r="B136" s="131" t="s">
        <v>231</v>
      </c>
      <c r="C136" s="132"/>
      <c r="D136" s="132"/>
      <c r="E136" s="132"/>
      <c r="F136" s="132"/>
      <c r="G136" s="127"/>
      <c r="H136" s="128"/>
      <c r="I136" s="130"/>
      <c r="J136" s="36"/>
      <c r="K136" s="7"/>
      <c r="L136" s="131" t="s">
        <v>231</v>
      </c>
      <c r="M136" s="132"/>
      <c r="N136" s="132"/>
      <c r="O136" s="132"/>
      <c r="P136" s="132"/>
      <c r="Q136" s="127"/>
      <c r="R136" s="128"/>
      <c r="S136" s="130"/>
    </row>
    <row r="137" spans="1:19" ht="15.75" customHeight="1" thickBot="1" x14ac:dyDescent="0.3">
      <c r="A137" s="13"/>
      <c r="B137" s="133" t="s">
        <v>232</v>
      </c>
      <c r="C137" s="134"/>
      <c r="D137" s="134"/>
      <c r="E137" s="134"/>
      <c r="F137" s="134"/>
      <c r="G137" s="135"/>
      <c r="H137" s="136"/>
      <c r="I137" s="14"/>
      <c r="J137" s="36"/>
      <c r="K137" s="13"/>
      <c r="L137" s="133" t="s">
        <v>232</v>
      </c>
      <c r="M137" s="134"/>
      <c r="N137" s="134"/>
      <c r="O137" s="134"/>
      <c r="P137" s="134"/>
      <c r="Q137" s="135"/>
      <c r="R137" s="136"/>
      <c r="S137" s="14"/>
    </row>
    <row r="138" spans="1:19" ht="28.5" customHeight="1" thickBot="1" x14ac:dyDescent="0.3">
      <c r="A138" s="13"/>
      <c r="B138" s="84" t="s">
        <v>233</v>
      </c>
      <c r="C138" s="85"/>
      <c r="D138" s="85"/>
      <c r="E138" s="85"/>
      <c r="F138" s="85"/>
      <c r="G138" s="86">
        <f>1.29*12*F121</f>
        <v>22727.736000000001</v>
      </c>
      <c r="H138" s="87"/>
      <c r="I138" s="317" t="s">
        <v>633</v>
      </c>
      <c r="J138" s="41"/>
      <c r="K138" s="13"/>
      <c r="L138" s="84" t="s">
        <v>233</v>
      </c>
      <c r="M138" s="85"/>
      <c r="N138" s="85"/>
      <c r="O138" s="85"/>
      <c r="P138" s="85"/>
      <c r="Q138" s="86">
        <f>1.35*12*P121</f>
        <v>40623.120000000003</v>
      </c>
      <c r="R138" s="87"/>
      <c r="S138" s="317" t="s">
        <v>634</v>
      </c>
    </row>
    <row r="139" spans="1:19" ht="35.25" customHeight="1" x14ac:dyDescent="0.25">
      <c r="A139" s="118"/>
      <c r="B139" s="121" t="s">
        <v>226</v>
      </c>
      <c r="C139" s="122"/>
      <c r="D139" s="122"/>
      <c r="E139" s="122"/>
      <c r="F139" s="122"/>
      <c r="G139" s="88"/>
      <c r="H139" s="89"/>
      <c r="I139" s="318"/>
      <c r="J139" s="41"/>
      <c r="K139" s="118"/>
      <c r="L139" s="121" t="s">
        <v>226</v>
      </c>
      <c r="M139" s="122"/>
      <c r="N139" s="122"/>
      <c r="O139" s="122"/>
      <c r="P139" s="122"/>
      <c r="Q139" s="88"/>
      <c r="R139" s="89"/>
      <c r="S139" s="318"/>
    </row>
    <row r="140" spans="1:19" ht="26.25" customHeight="1" x14ac:dyDescent="0.25">
      <c r="A140" s="119"/>
      <c r="B140" s="121" t="s">
        <v>227</v>
      </c>
      <c r="C140" s="122"/>
      <c r="D140" s="122"/>
      <c r="E140" s="122"/>
      <c r="F140" s="122"/>
      <c r="G140" s="88"/>
      <c r="H140" s="89"/>
      <c r="I140" s="318"/>
      <c r="J140" s="41"/>
      <c r="K140" s="119"/>
      <c r="L140" s="121" t="s">
        <v>227</v>
      </c>
      <c r="M140" s="122"/>
      <c r="N140" s="122"/>
      <c r="O140" s="122"/>
      <c r="P140" s="122"/>
      <c r="Q140" s="88"/>
      <c r="R140" s="89"/>
      <c r="S140" s="318"/>
    </row>
    <row r="141" spans="1:19" ht="42.6" customHeight="1" x14ac:dyDescent="0.25">
      <c r="A141" s="119"/>
      <c r="B141" s="121" t="s">
        <v>228</v>
      </c>
      <c r="C141" s="122"/>
      <c r="D141" s="122"/>
      <c r="E141" s="122"/>
      <c r="F141" s="122"/>
      <c r="G141" s="88"/>
      <c r="H141" s="89"/>
      <c r="I141" s="318"/>
      <c r="J141" s="42"/>
      <c r="K141" s="119"/>
      <c r="L141" s="121" t="s">
        <v>228</v>
      </c>
      <c r="M141" s="122"/>
      <c r="N141" s="122"/>
      <c r="O141" s="122"/>
      <c r="P141" s="122"/>
      <c r="Q141" s="88"/>
      <c r="R141" s="89"/>
      <c r="S141" s="318"/>
    </row>
    <row r="142" spans="1:19" ht="73.5" customHeight="1" thickBot="1" x14ac:dyDescent="0.3">
      <c r="A142" s="120"/>
      <c r="B142" s="123" t="s">
        <v>234</v>
      </c>
      <c r="C142" s="124"/>
      <c r="D142" s="124"/>
      <c r="E142" s="124"/>
      <c r="F142" s="124"/>
      <c r="G142" s="90"/>
      <c r="H142" s="91"/>
      <c r="I142" s="319"/>
      <c r="J142" s="43"/>
      <c r="K142" s="120"/>
      <c r="L142" s="123" t="s">
        <v>234</v>
      </c>
      <c r="M142" s="124"/>
      <c r="N142" s="124"/>
      <c r="O142" s="124"/>
      <c r="P142" s="124"/>
      <c r="Q142" s="90"/>
      <c r="R142" s="91"/>
      <c r="S142" s="319"/>
    </row>
    <row r="143" spans="1:19" ht="0.75" customHeight="1" thickBot="1" x14ac:dyDescent="0.3">
      <c r="A143" s="15"/>
      <c r="B143" s="137" t="s">
        <v>248</v>
      </c>
      <c r="C143" s="138"/>
      <c r="D143" s="138"/>
      <c r="E143" s="138"/>
      <c r="F143" s="138"/>
      <c r="G143" s="139"/>
      <c r="H143" s="140"/>
      <c r="I143" s="16"/>
      <c r="J143" s="44"/>
      <c r="K143" s="15"/>
      <c r="L143" s="137" t="s">
        <v>248</v>
      </c>
      <c r="M143" s="138"/>
      <c r="N143" s="138"/>
      <c r="O143" s="138"/>
      <c r="P143" s="138"/>
      <c r="Q143" s="139"/>
      <c r="R143" s="140"/>
      <c r="S143" s="16"/>
    </row>
    <row r="144" spans="1:19" ht="36" hidden="1" customHeight="1" x14ac:dyDescent="0.25">
      <c r="A144" s="15"/>
      <c r="B144" s="137" t="s">
        <v>235</v>
      </c>
      <c r="C144" s="138"/>
      <c r="D144" s="138"/>
      <c r="E144" s="138"/>
      <c r="F144" s="138"/>
      <c r="G144" s="139"/>
      <c r="H144" s="140"/>
      <c r="I144" s="16"/>
      <c r="J144" s="40"/>
      <c r="K144" s="15"/>
      <c r="L144" s="137" t="s">
        <v>235</v>
      </c>
      <c r="M144" s="138"/>
      <c r="N144" s="138"/>
      <c r="O144" s="138"/>
      <c r="P144" s="138"/>
      <c r="Q144" s="139"/>
      <c r="R144" s="140"/>
      <c r="S144" s="16"/>
    </row>
    <row r="145" spans="1:19" ht="41.25" customHeight="1" thickBot="1" x14ac:dyDescent="0.3">
      <c r="A145" s="17"/>
      <c r="B145" s="78" t="s">
        <v>237</v>
      </c>
      <c r="C145" s="79"/>
      <c r="D145" s="79"/>
      <c r="E145" s="79"/>
      <c r="F145" s="79"/>
      <c r="G145" s="86">
        <v>1730</v>
      </c>
      <c r="H145" s="87"/>
      <c r="I145" s="108" t="s">
        <v>229</v>
      </c>
      <c r="J145" s="62"/>
      <c r="K145" s="17"/>
      <c r="L145" s="78" t="s">
        <v>237</v>
      </c>
      <c r="M145" s="79"/>
      <c r="N145" s="79"/>
      <c r="O145" s="79"/>
      <c r="P145" s="79"/>
      <c r="Q145" s="86">
        <v>23864</v>
      </c>
      <c r="R145" s="87"/>
      <c r="S145" s="108" t="s">
        <v>229</v>
      </c>
    </row>
    <row r="146" spans="1:19" ht="15.75" customHeight="1" thickBot="1" x14ac:dyDescent="0.3">
      <c r="A146" s="18"/>
      <c r="B146" s="110" t="s">
        <v>238</v>
      </c>
      <c r="C146" s="111"/>
      <c r="D146" s="111"/>
      <c r="E146" s="111"/>
      <c r="F146" s="111"/>
      <c r="G146" s="90"/>
      <c r="H146" s="91"/>
      <c r="I146" s="109"/>
      <c r="J146" s="46"/>
      <c r="K146" s="18"/>
      <c r="L146" s="110" t="s">
        <v>238</v>
      </c>
      <c r="M146" s="111"/>
      <c r="N146" s="111"/>
      <c r="O146" s="111"/>
      <c r="P146" s="111"/>
      <c r="Q146" s="90"/>
      <c r="R146" s="91"/>
      <c r="S146" s="109"/>
    </row>
    <row r="147" spans="1:19" ht="15.75" customHeight="1" thickBot="1" x14ac:dyDescent="0.3">
      <c r="A147" s="19"/>
      <c r="B147" s="112" t="s">
        <v>239</v>
      </c>
      <c r="C147" s="113"/>
      <c r="D147" s="113"/>
      <c r="E147" s="113"/>
      <c r="F147" s="113"/>
      <c r="G147" s="114">
        <f>SUM(G126:H146)</f>
        <v>82950.824000000008</v>
      </c>
      <c r="H147" s="115"/>
      <c r="I147" s="20"/>
      <c r="J147" s="47"/>
      <c r="K147" s="19"/>
      <c r="L147" s="112" t="s">
        <v>239</v>
      </c>
      <c r="M147" s="113"/>
      <c r="N147" s="113"/>
      <c r="O147" s="113"/>
      <c r="P147" s="113"/>
      <c r="Q147" s="114">
        <f>SUM(Q126:R146)</f>
        <v>148742.48000000001</v>
      </c>
      <c r="R147" s="115"/>
      <c r="S147" s="20"/>
    </row>
    <row r="148" spans="1:19" ht="24.75" customHeight="1" thickBot="1" x14ac:dyDescent="0.3">
      <c r="A148" s="21"/>
      <c r="B148" s="101" t="s">
        <v>240</v>
      </c>
      <c r="C148" s="102"/>
      <c r="D148" s="102"/>
      <c r="E148" s="102"/>
      <c r="F148" s="102"/>
      <c r="G148" s="116">
        <f>G147*1.2</f>
        <v>99540.988800000006</v>
      </c>
      <c r="H148" s="117"/>
      <c r="I148" s="22"/>
      <c r="J148" s="47"/>
      <c r="K148" s="21"/>
      <c r="L148" s="101" t="s">
        <v>240</v>
      </c>
      <c r="M148" s="102"/>
      <c r="N148" s="102"/>
      <c r="O148" s="102"/>
      <c r="P148" s="102"/>
      <c r="Q148" s="116">
        <f>Q147*1.2</f>
        <v>178490.976</v>
      </c>
      <c r="R148" s="117"/>
      <c r="S148" s="22"/>
    </row>
    <row r="149" spans="1:19" ht="24.75" customHeight="1" thickBot="1" x14ac:dyDescent="0.3">
      <c r="A149" s="24"/>
      <c r="B149" s="96" t="s">
        <v>443</v>
      </c>
      <c r="C149" s="97"/>
      <c r="D149" s="97"/>
      <c r="E149" s="97"/>
      <c r="F149" s="97"/>
      <c r="G149" s="311">
        <v>98300.38</v>
      </c>
      <c r="H149" s="312"/>
      <c r="I149" s="313"/>
      <c r="J149" s="47"/>
      <c r="K149" s="24"/>
      <c r="L149" s="96" t="s">
        <v>443</v>
      </c>
      <c r="M149" s="97"/>
      <c r="N149" s="97"/>
      <c r="O149" s="97"/>
      <c r="P149" s="97"/>
      <c r="Q149" s="311">
        <v>179540.82</v>
      </c>
      <c r="R149" s="312"/>
      <c r="S149" s="313"/>
    </row>
    <row r="150" spans="1:19" ht="24.75" customHeight="1" thickBot="1" x14ac:dyDescent="0.3">
      <c r="A150" s="19"/>
      <c r="B150" s="101" t="s">
        <v>242</v>
      </c>
      <c r="C150" s="102"/>
      <c r="D150" s="102"/>
      <c r="E150" s="102"/>
      <c r="F150" s="102"/>
      <c r="G150" s="307">
        <v>100208.48</v>
      </c>
      <c r="H150" s="308"/>
      <c r="I150" s="309"/>
      <c r="J150" s="48"/>
      <c r="K150" s="19"/>
      <c r="L150" s="101" t="s">
        <v>242</v>
      </c>
      <c r="M150" s="102"/>
      <c r="N150" s="102"/>
      <c r="O150" s="102"/>
      <c r="P150" s="102"/>
      <c r="Q150" s="307">
        <v>170866.56</v>
      </c>
      <c r="R150" s="308"/>
      <c r="S150" s="309"/>
    </row>
    <row r="151" spans="1:19" ht="24.75" customHeight="1" thickBot="1" x14ac:dyDescent="0.3">
      <c r="A151" s="19"/>
      <c r="B151" s="106" t="s">
        <v>444</v>
      </c>
      <c r="C151" s="107"/>
      <c r="D151" s="107"/>
      <c r="E151" s="107"/>
      <c r="F151" s="107"/>
      <c r="G151" s="307">
        <v>5746.73</v>
      </c>
      <c r="H151" s="308"/>
      <c r="I151" s="309"/>
      <c r="J151" s="49"/>
      <c r="K151" s="19"/>
      <c r="L151" s="106" t="s">
        <v>444</v>
      </c>
      <c r="M151" s="107"/>
      <c r="N151" s="107"/>
      <c r="O151" s="107"/>
      <c r="P151" s="107"/>
      <c r="Q151" s="307">
        <v>43907.4</v>
      </c>
      <c r="R151" s="308"/>
      <c r="S151" s="309"/>
    </row>
    <row r="152" spans="1:19" ht="33" customHeight="1" x14ac:dyDescent="0.25">
      <c r="B152" s="323" t="s">
        <v>632</v>
      </c>
      <c r="C152" s="323"/>
      <c r="D152" s="323"/>
      <c r="E152" s="323"/>
      <c r="F152" s="323"/>
      <c r="G152" s="323"/>
      <c r="H152" s="323"/>
      <c r="I152" s="323"/>
      <c r="O152" s="50"/>
      <c r="S152" s="5"/>
    </row>
    <row r="153" spans="1:19" x14ac:dyDescent="0.25">
      <c r="A153" s="3"/>
      <c r="I153" s="5"/>
      <c r="K153" s="3"/>
      <c r="S153" s="5"/>
    </row>
    <row r="154" spans="1:19" ht="15.75" x14ac:dyDescent="0.25">
      <c r="A154" s="30"/>
      <c r="K154" s="30"/>
    </row>
    <row r="155" spans="1:19" ht="15.75" x14ac:dyDescent="0.25">
      <c r="A155" s="30"/>
      <c r="K155" s="30"/>
    </row>
    <row r="156" spans="1:19" x14ac:dyDescent="0.25">
      <c r="A156" s="3"/>
      <c r="B156" s="3"/>
      <c r="C156" s="3"/>
      <c r="D156" s="3"/>
      <c r="E156" s="4" t="s">
        <v>204</v>
      </c>
      <c r="F156" s="3"/>
      <c r="G156" s="3"/>
      <c r="H156" s="3"/>
      <c r="I156" s="3"/>
      <c r="K156" s="3"/>
      <c r="L156" s="3"/>
      <c r="M156" s="3"/>
      <c r="N156" s="3"/>
      <c r="O156" s="4" t="s">
        <v>204</v>
      </c>
      <c r="P156" s="3"/>
      <c r="Q156" s="3"/>
      <c r="R156" s="3"/>
      <c r="S156" s="3"/>
    </row>
    <row r="157" spans="1:19" ht="15.75" customHeight="1" x14ac:dyDescent="0.25">
      <c r="A157" s="3" t="s">
        <v>205</v>
      </c>
      <c r="B157" s="3"/>
      <c r="C157" s="3"/>
      <c r="D157" s="3" t="s">
        <v>397</v>
      </c>
      <c r="E157" s="3"/>
      <c r="F157" s="3"/>
      <c r="G157" s="3"/>
      <c r="H157" s="3"/>
      <c r="I157" s="3"/>
      <c r="K157" s="3" t="s">
        <v>205</v>
      </c>
      <c r="L157" s="3"/>
      <c r="M157" s="3"/>
      <c r="N157" s="3" t="s">
        <v>398</v>
      </c>
      <c r="O157" s="3"/>
      <c r="P157" s="3"/>
      <c r="Q157" s="3"/>
      <c r="R157" s="3"/>
      <c r="S157" s="3"/>
    </row>
    <row r="158" spans="1:19" ht="18" customHeight="1" x14ac:dyDescent="0.25">
      <c r="A158" s="3"/>
      <c r="B158" s="5" t="s">
        <v>440</v>
      </c>
      <c r="C158" s="3"/>
      <c r="D158" s="3"/>
      <c r="E158" s="3"/>
      <c r="F158" s="3"/>
      <c r="G158" s="3"/>
      <c r="H158" s="3"/>
      <c r="I158" s="3"/>
      <c r="K158" s="3"/>
      <c r="L158" s="5" t="s">
        <v>440</v>
      </c>
      <c r="M158" s="3"/>
      <c r="N158" s="3"/>
      <c r="O158" s="3"/>
      <c r="P158" s="3"/>
      <c r="Q158" s="3"/>
      <c r="R158" s="3"/>
      <c r="S158" s="3"/>
    </row>
    <row r="159" spans="1:19" ht="19.5" customHeight="1" thickBot="1" x14ac:dyDescent="0.3">
      <c r="A159" s="3"/>
      <c r="B159" s="5" t="s">
        <v>206</v>
      </c>
      <c r="C159" s="3"/>
      <c r="D159" s="3"/>
      <c r="E159" s="3"/>
      <c r="F159" s="3">
        <v>821.5</v>
      </c>
      <c r="G159" s="3" t="s">
        <v>207</v>
      </c>
      <c r="H159" s="3"/>
      <c r="I159" s="3"/>
      <c r="J159" s="3"/>
      <c r="K159" s="3"/>
      <c r="L159" s="5" t="s">
        <v>206</v>
      </c>
      <c r="M159" s="3"/>
      <c r="N159" s="3"/>
      <c r="O159" s="3"/>
      <c r="P159" s="3">
        <v>1526.1</v>
      </c>
      <c r="Q159" s="3" t="s">
        <v>207</v>
      </c>
      <c r="R159" s="3"/>
      <c r="S159" s="3"/>
    </row>
    <row r="160" spans="1:19" ht="5.25" customHeight="1" thickBot="1" x14ac:dyDescent="0.3">
      <c r="A160" s="175" t="s">
        <v>209</v>
      </c>
      <c r="B160" s="177" t="s">
        <v>210</v>
      </c>
      <c r="C160" s="178"/>
      <c r="D160" s="178"/>
      <c r="E160" s="178"/>
      <c r="F160" s="178"/>
      <c r="G160" s="180" t="s">
        <v>441</v>
      </c>
      <c r="H160" s="181"/>
      <c r="I160" s="175" t="s">
        <v>212</v>
      </c>
      <c r="J160" s="3"/>
      <c r="K160" s="175" t="s">
        <v>209</v>
      </c>
      <c r="L160" s="177" t="s">
        <v>210</v>
      </c>
      <c r="M160" s="178"/>
      <c r="N160" s="178"/>
      <c r="O160" s="178"/>
      <c r="P160" s="178"/>
      <c r="Q160" s="180" t="s">
        <v>441</v>
      </c>
      <c r="R160" s="181"/>
      <c r="S160" s="175" t="s">
        <v>212</v>
      </c>
    </row>
    <row r="161" spans="1:19" ht="56.25" customHeight="1" thickBot="1" x14ac:dyDescent="0.3">
      <c r="A161" s="176"/>
      <c r="B161" s="179"/>
      <c r="C161" s="179"/>
      <c r="D161" s="179"/>
      <c r="E161" s="179"/>
      <c r="F161" s="179"/>
      <c r="G161" s="182"/>
      <c r="H161" s="183"/>
      <c r="I161" s="184"/>
      <c r="J161" s="31"/>
      <c r="K161" s="176"/>
      <c r="L161" s="179"/>
      <c r="M161" s="179"/>
      <c r="N161" s="179"/>
      <c r="O161" s="179"/>
      <c r="P161" s="179"/>
      <c r="Q161" s="182"/>
      <c r="R161" s="183"/>
      <c r="S161" s="184"/>
    </row>
    <row r="162" spans="1:19" ht="13.5" customHeight="1" thickBot="1" x14ac:dyDescent="0.3">
      <c r="A162" s="185" t="s">
        <v>213</v>
      </c>
      <c r="B162" s="187" t="s">
        <v>354</v>
      </c>
      <c r="C162" s="188"/>
      <c r="D162" s="188"/>
      <c r="E162" s="188"/>
      <c r="F162" s="188"/>
      <c r="G162" s="190">
        <v>33491.25</v>
      </c>
      <c r="H162" s="191"/>
      <c r="I162" s="192"/>
      <c r="J162" s="32"/>
      <c r="K162" s="185" t="s">
        <v>213</v>
      </c>
      <c r="L162" s="187" t="s">
        <v>354</v>
      </c>
      <c r="M162" s="188"/>
      <c r="N162" s="188"/>
      <c r="O162" s="188"/>
      <c r="P162" s="188"/>
      <c r="Q162" s="190">
        <v>28980.31</v>
      </c>
      <c r="R162" s="191"/>
      <c r="S162" s="192"/>
    </row>
    <row r="163" spans="1:19" ht="13.5" customHeight="1" thickBot="1" x14ac:dyDescent="0.3">
      <c r="A163" s="186"/>
      <c r="B163" s="189"/>
      <c r="C163" s="189"/>
      <c r="D163" s="189"/>
      <c r="E163" s="189"/>
      <c r="F163" s="189"/>
      <c r="G163" s="193"/>
      <c r="H163" s="194"/>
      <c r="I163" s="128"/>
      <c r="J163" s="33"/>
      <c r="K163" s="186"/>
      <c r="L163" s="189"/>
      <c r="M163" s="189"/>
      <c r="N163" s="189"/>
      <c r="O163" s="189"/>
      <c r="P163" s="189"/>
      <c r="Q163" s="193"/>
      <c r="R163" s="194"/>
      <c r="S163" s="128"/>
    </row>
    <row r="164" spans="1:19" ht="13.5" customHeight="1" x14ac:dyDescent="0.25">
      <c r="A164" s="6"/>
      <c r="B164" s="161" t="s">
        <v>214</v>
      </c>
      <c r="C164" s="162"/>
      <c r="D164" s="162"/>
      <c r="E164" s="162"/>
      <c r="F164" s="162"/>
      <c r="G164" s="163">
        <f>1.29*12*F159</f>
        <v>12716.82</v>
      </c>
      <c r="H164" s="164"/>
      <c r="I164" s="169" t="s">
        <v>215</v>
      </c>
      <c r="J164" s="36"/>
      <c r="K164" s="6"/>
      <c r="L164" s="161" t="s">
        <v>214</v>
      </c>
      <c r="M164" s="162"/>
      <c r="N164" s="162"/>
      <c r="O164" s="162"/>
      <c r="P164" s="162"/>
      <c r="Q164" s="163">
        <f>1.29*12*P159</f>
        <v>23624.027999999998</v>
      </c>
      <c r="R164" s="164"/>
      <c r="S164" s="169" t="s">
        <v>215</v>
      </c>
    </row>
    <row r="165" spans="1:19" ht="51" customHeight="1" thickBot="1" x14ac:dyDescent="0.3">
      <c r="A165" s="7"/>
      <c r="B165" s="171" t="s">
        <v>216</v>
      </c>
      <c r="C165" s="172"/>
      <c r="D165" s="172"/>
      <c r="E165" s="172"/>
      <c r="F165" s="172"/>
      <c r="G165" s="165"/>
      <c r="H165" s="166"/>
      <c r="I165" s="170"/>
      <c r="J165" s="35"/>
      <c r="K165" s="7"/>
      <c r="L165" s="171" t="s">
        <v>216</v>
      </c>
      <c r="M165" s="172"/>
      <c r="N165" s="172"/>
      <c r="O165" s="172"/>
      <c r="P165" s="172"/>
      <c r="Q165" s="165"/>
      <c r="R165" s="166"/>
      <c r="S165" s="170"/>
    </row>
    <row r="166" spans="1:19" ht="13.5" customHeight="1" thickBot="1" x14ac:dyDescent="0.3">
      <c r="A166" s="7"/>
      <c r="B166" s="173" t="s">
        <v>217</v>
      </c>
      <c r="C166" s="174"/>
      <c r="D166" s="174"/>
      <c r="E166" s="174"/>
      <c r="F166" s="174"/>
      <c r="G166" s="167"/>
      <c r="H166" s="168"/>
      <c r="I166" s="8" t="s">
        <v>218</v>
      </c>
      <c r="J166" s="36"/>
      <c r="K166" s="7"/>
      <c r="L166" s="173" t="s">
        <v>217</v>
      </c>
      <c r="M166" s="174"/>
      <c r="N166" s="174"/>
      <c r="O166" s="174"/>
      <c r="P166" s="174"/>
      <c r="Q166" s="167"/>
      <c r="R166" s="168"/>
      <c r="S166" s="8" t="s">
        <v>218</v>
      </c>
    </row>
    <row r="167" spans="1:19" ht="13.5" customHeight="1" thickBot="1" x14ac:dyDescent="0.3">
      <c r="A167" s="7"/>
      <c r="B167" s="141" t="s">
        <v>219</v>
      </c>
      <c r="C167" s="142"/>
      <c r="D167" s="142"/>
      <c r="E167" s="142"/>
      <c r="F167" s="142"/>
      <c r="G167" s="143">
        <v>0</v>
      </c>
      <c r="H167" s="144"/>
      <c r="I167" s="8" t="s">
        <v>220</v>
      </c>
      <c r="J167" s="36"/>
      <c r="K167" s="7"/>
      <c r="L167" s="141" t="s">
        <v>219</v>
      </c>
      <c r="M167" s="142"/>
      <c r="N167" s="142"/>
      <c r="O167" s="142"/>
      <c r="P167" s="142"/>
      <c r="Q167" s="143">
        <v>0</v>
      </c>
      <c r="R167" s="144"/>
      <c r="S167" s="8" t="s">
        <v>220</v>
      </c>
    </row>
    <row r="168" spans="1:19" ht="13.5" customHeight="1" thickBot="1" x14ac:dyDescent="0.3">
      <c r="A168" s="7"/>
      <c r="B168" s="141" t="s">
        <v>221</v>
      </c>
      <c r="C168" s="142"/>
      <c r="D168" s="142"/>
      <c r="E168" s="142"/>
      <c r="F168" s="142"/>
      <c r="G168" s="143">
        <f>0.3*12*F159</f>
        <v>2957.3999999999996</v>
      </c>
      <c r="H168" s="144"/>
      <c r="I168" s="8" t="s">
        <v>222</v>
      </c>
      <c r="J168" s="37"/>
      <c r="K168" s="7"/>
      <c r="L168" s="141" t="s">
        <v>221</v>
      </c>
      <c r="M168" s="142"/>
      <c r="N168" s="142"/>
      <c r="O168" s="142"/>
      <c r="P168" s="142"/>
      <c r="Q168" s="143">
        <f>0.3*12*P159</f>
        <v>5493.9599999999991</v>
      </c>
      <c r="R168" s="144"/>
      <c r="S168" s="8" t="s">
        <v>222</v>
      </c>
    </row>
    <row r="169" spans="1:19" ht="13.5" customHeight="1" x14ac:dyDescent="0.25">
      <c r="A169" s="9"/>
      <c r="B169" s="145" t="s">
        <v>223</v>
      </c>
      <c r="C169" s="146"/>
      <c r="D169" s="146"/>
      <c r="E169" s="146"/>
      <c r="F169" s="146"/>
      <c r="G169" s="86">
        <f>1.69*12*F159</f>
        <v>16660.02</v>
      </c>
      <c r="H169" s="147"/>
      <c r="I169" s="152" t="s">
        <v>224</v>
      </c>
      <c r="J169" s="38"/>
      <c r="K169" s="9"/>
      <c r="L169" s="145" t="s">
        <v>223</v>
      </c>
      <c r="M169" s="146"/>
      <c r="N169" s="146"/>
      <c r="O169" s="146"/>
      <c r="P169" s="146"/>
      <c r="Q169" s="86">
        <f>1.74*12*P159</f>
        <v>31864.967999999997</v>
      </c>
      <c r="R169" s="147"/>
      <c r="S169" s="152" t="s">
        <v>224</v>
      </c>
    </row>
    <row r="170" spans="1:19" ht="13.5" customHeight="1" x14ac:dyDescent="0.25">
      <c r="A170" s="10"/>
      <c r="B170" s="155" t="s">
        <v>226</v>
      </c>
      <c r="C170" s="156"/>
      <c r="D170" s="156"/>
      <c r="E170" s="156"/>
      <c r="F170" s="156"/>
      <c r="G170" s="148"/>
      <c r="H170" s="149"/>
      <c r="I170" s="153"/>
      <c r="J170" s="38"/>
      <c r="K170" s="10"/>
      <c r="L170" s="155" t="s">
        <v>226</v>
      </c>
      <c r="M170" s="156"/>
      <c r="N170" s="156"/>
      <c r="O170" s="156"/>
      <c r="P170" s="156"/>
      <c r="Q170" s="148"/>
      <c r="R170" s="149"/>
      <c r="S170" s="153"/>
    </row>
    <row r="171" spans="1:19" ht="13.5" customHeight="1" thickBot="1" x14ac:dyDescent="0.3">
      <c r="A171" s="10"/>
      <c r="B171" s="157" t="s">
        <v>227</v>
      </c>
      <c r="C171" s="158"/>
      <c r="D171" s="158"/>
      <c r="E171" s="158"/>
      <c r="F171" s="158"/>
      <c r="G171" s="148"/>
      <c r="H171" s="149"/>
      <c r="I171" s="154"/>
      <c r="J171" s="39"/>
      <c r="K171" s="10"/>
      <c r="L171" s="157" t="s">
        <v>227</v>
      </c>
      <c r="M171" s="158"/>
      <c r="N171" s="158"/>
      <c r="O171" s="158"/>
      <c r="P171" s="158"/>
      <c r="Q171" s="148"/>
      <c r="R171" s="149"/>
      <c r="S171" s="154"/>
    </row>
    <row r="172" spans="1:19" ht="15.75" customHeight="1" thickBot="1" x14ac:dyDescent="0.3">
      <c r="A172" s="10"/>
      <c r="B172" s="159" t="s">
        <v>228</v>
      </c>
      <c r="C172" s="160"/>
      <c r="D172" s="160"/>
      <c r="E172" s="160"/>
      <c r="F172" s="160"/>
      <c r="G172" s="150"/>
      <c r="H172" s="151"/>
      <c r="I172" s="11" t="s">
        <v>229</v>
      </c>
      <c r="J172" s="36"/>
      <c r="K172" s="10"/>
      <c r="L172" s="159" t="s">
        <v>228</v>
      </c>
      <c r="M172" s="160"/>
      <c r="N172" s="160"/>
      <c r="O172" s="160"/>
      <c r="P172" s="160"/>
      <c r="Q172" s="150"/>
      <c r="R172" s="151"/>
      <c r="S172" s="11" t="s">
        <v>229</v>
      </c>
    </row>
    <row r="173" spans="1:19" ht="15.75" customHeight="1" x14ac:dyDescent="0.25">
      <c r="A173" s="12"/>
      <c r="B173" s="125" t="s">
        <v>230</v>
      </c>
      <c r="C173" s="126"/>
      <c r="D173" s="126"/>
      <c r="E173" s="126"/>
      <c r="F173" s="126"/>
      <c r="G173" s="86">
        <v>0</v>
      </c>
      <c r="H173" s="87"/>
      <c r="I173" s="129" t="s">
        <v>220</v>
      </c>
      <c r="J173" s="36"/>
      <c r="K173" s="12"/>
      <c r="L173" s="125" t="s">
        <v>230</v>
      </c>
      <c r="M173" s="126"/>
      <c r="N173" s="126"/>
      <c r="O173" s="126"/>
      <c r="P173" s="126"/>
      <c r="Q173" s="86">
        <f>0.02*12*P159</f>
        <v>366.26399999999995</v>
      </c>
      <c r="R173" s="87"/>
      <c r="S173" s="129" t="s">
        <v>220</v>
      </c>
    </row>
    <row r="174" spans="1:19" ht="15.75" customHeight="1" thickBot="1" x14ac:dyDescent="0.3">
      <c r="A174" s="7"/>
      <c r="B174" s="131" t="s">
        <v>231</v>
      </c>
      <c r="C174" s="132"/>
      <c r="D174" s="132"/>
      <c r="E174" s="132"/>
      <c r="F174" s="132"/>
      <c r="G174" s="127"/>
      <c r="H174" s="128"/>
      <c r="I174" s="130"/>
      <c r="J174" s="36"/>
      <c r="K174" s="7"/>
      <c r="L174" s="131" t="s">
        <v>231</v>
      </c>
      <c r="M174" s="132"/>
      <c r="N174" s="132"/>
      <c r="O174" s="132"/>
      <c r="P174" s="132"/>
      <c r="Q174" s="127"/>
      <c r="R174" s="128"/>
      <c r="S174" s="130"/>
    </row>
    <row r="175" spans="1:19" ht="15.75" thickBot="1" x14ac:dyDescent="0.3">
      <c r="A175" s="13"/>
      <c r="B175" s="133" t="s">
        <v>232</v>
      </c>
      <c r="C175" s="134"/>
      <c r="D175" s="134"/>
      <c r="E175" s="134"/>
      <c r="F175" s="134"/>
      <c r="G175" s="135"/>
      <c r="H175" s="136"/>
      <c r="I175" s="14"/>
      <c r="J175" s="36"/>
      <c r="K175" s="13"/>
      <c r="L175" s="133" t="s">
        <v>232</v>
      </c>
      <c r="M175" s="134"/>
      <c r="N175" s="134"/>
      <c r="O175" s="134"/>
      <c r="P175" s="134"/>
      <c r="Q175" s="135"/>
      <c r="R175" s="136"/>
      <c r="S175" s="14"/>
    </row>
    <row r="176" spans="1:19" ht="15" customHeight="1" thickBot="1" x14ac:dyDescent="0.3">
      <c r="A176" s="13"/>
      <c r="B176" s="84" t="s">
        <v>233</v>
      </c>
      <c r="C176" s="85"/>
      <c r="D176" s="85"/>
      <c r="E176" s="85"/>
      <c r="F176" s="85"/>
      <c r="G176" s="86">
        <f>1.35*12*F159</f>
        <v>13308.300000000003</v>
      </c>
      <c r="H176" s="87"/>
      <c r="I176" s="320" t="s">
        <v>635</v>
      </c>
      <c r="J176" s="41"/>
      <c r="K176" s="13"/>
      <c r="L176" s="84" t="s">
        <v>233</v>
      </c>
      <c r="M176" s="85"/>
      <c r="N176" s="85"/>
      <c r="O176" s="85"/>
      <c r="P176" s="85"/>
      <c r="Q176" s="86">
        <f>1.13*12*P159</f>
        <v>20693.915999999997</v>
      </c>
      <c r="R176" s="87"/>
      <c r="S176" s="320" t="s">
        <v>636</v>
      </c>
    </row>
    <row r="177" spans="1:19" ht="45.75" customHeight="1" x14ac:dyDescent="0.25">
      <c r="A177" s="118"/>
      <c r="B177" s="121" t="s">
        <v>226</v>
      </c>
      <c r="C177" s="122"/>
      <c r="D177" s="122"/>
      <c r="E177" s="122"/>
      <c r="F177" s="122"/>
      <c r="G177" s="88"/>
      <c r="H177" s="89"/>
      <c r="I177" s="321"/>
      <c r="J177" s="41"/>
      <c r="K177" s="118"/>
      <c r="L177" s="121" t="s">
        <v>226</v>
      </c>
      <c r="M177" s="122"/>
      <c r="N177" s="122"/>
      <c r="O177" s="122"/>
      <c r="P177" s="122"/>
      <c r="Q177" s="88"/>
      <c r="R177" s="89"/>
      <c r="S177" s="321"/>
    </row>
    <row r="178" spans="1:19" ht="50.25" customHeight="1" x14ac:dyDescent="0.25">
      <c r="A178" s="119"/>
      <c r="B178" s="121" t="s">
        <v>227</v>
      </c>
      <c r="C178" s="122"/>
      <c r="D178" s="122"/>
      <c r="E178" s="122"/>
      <c r="F178" s="122"/>
      <c r="G178" s="88"/>
      <c r="H178" s="89"/>
      <c r="I178" s="321"/>
      <c r="J178" s="41"/>
      <c r="K178" s="119"/>
      <c r="L178" s="121" t="s">
        <v>227</v>
      </c>
      <c r="M178" s="122"/>
      <c r="N178" s="122"/>
      <c r="O178" s="122"/>
      <c r="P178" s="122"/>
      <c r="Q178" s="88"/>
      <c r="R178" s="89"/>
      <c r="S178" s="321"/>
    </row>
    <row r="179" spans="1:19" ht="35.25" customHeight="1" x14ac:dyDescent="0.25">
      <c r="A179" s="119"/>
      <c r="B179" s="121" t="s">
        <v>228</v>
      </c>
      <c r="C179" s="122"/>
      <c r="D179" s="122"/>
      <c r="E179" s="122"/>
      <c r="F179" s="122"/>
      <c r="G179" s="88"/>
      <c r="H179" s="89"/>
      <c r="I179" s="321"/>
      <c r="J179" s="41"/>
      <c r="K179" s="119"/>
      <c r="L179" s="121" t="s">
        <v>228</v>
      </c>
      <c r="M179" s="122"/>
      <c r="N179" s="122"/>
      <c r="O179" s="122"/>
      <c r="P179" s="122"/>
      <c r="Q179" s="88"/>
      <c r="R179" s="89"/>
      <c r="S179" s="321"/>
    </row>
    <row r="180" spans="1:19" ht="50.25" customHeight="1" thickBot="1" x14ac:dyDescent="0.3">
      <c r="A180" s="120"/>
      <c r="B180" s="123" t="s">
        <v>234</v>
      </c>
      <c r="C180" s="124"/>
      <c r="D180" s="124"/>
      <c r="E180" s="124"/>
      <c r="F180" s="124"/>
      <c r="G180" s="90"/>
      <c r="H180" s="91"/>
      <c r="I180" s="322"/>
      <c r="J180" s="42"/>
      <c r="K180" s="120"/>
      <c r="L180" s="123" t="s">
        <v>234</v>
      </c>
      <c r="M180" s="124"/>
      <c r="N180" s="124"/>
      <c r="O180" s="124"/>
      <c r="P180" s="124"/>
      <c r="Q180" s="90"/>
      <c r="R180" s="91"/>
      <c r="S180" s="322"/>
    </row>
    <row r="181" spans="1:19" ht="1.5" customHeight="1" thickBot="1" x14ac:dyDescent="0.3">
      <c r="A181" s="15"/>
      <c r="B181" s="137" t="s">
        <v>248</v>
      </c>
      <c r="C181" s="138"/>
      <c r="D181" s="138"/>
      <c r="E181" s="138"/>
      <c r="F181" s="138"/>
      <c r="G181" s="139"/>
      <c r="H181" s="140"/>
      <c r="I181" s="16"/>
      <c r="J181" s="43"/>
      <c r="K181" s="15"/>
      <c r="L181" s="137" t="s">
        <v>248</v>
      </c>
      <c r="M181" s="138"/>
      <c r="N181" s="138"/>
      <c r="O181" s="138"/>
      <c r="P181" s="138"/>
      <c r="Q181" s="139"/>
      <c r="R181" s="140"/>
      <c r="S181" s="16"/>
    </row>
    <row r="182" spans="1:19" ht="0.75" customHeight="1" thickBot="1" x14ac:dyDescent="0.3">
      <c r="A182" s="15"/>
      <c r="B182" s="137" t="s">
        <v>235</v>
      </c>
      <c r="C182" s="138"/>
      <c r="D182" s="138"/>
      <c r="E182" s="138"/>
      <c r="F182" s="138"/>
      <c r="G182" s="139"/>
      <c r="H182" s="140"/>
      <c r="I182" s="16"/>
      <c r="J182" s="44"/>
      <c r="K182" s="15"/>
      <c r="L182" s="137" t="s">
        <v>235</v>
      </c>
      <c r="M182" s="138"/>
      <c r="N182" s="138"/>
      <c r="O182" s="138"/>
      <c r="P182" s="138"/>
      <c r="Q182" s="139"/>
      <c r="R182" s="140"/>
      <c r="S182" s="16"/>
    </row>
    <row r="183" spans="1:19" ht="33.75" customHeight="1" thickBot="1" x14ac:dyDescent="0.3">
      <c r="A183" s="17"/>
      <c r="B183" s="78" t="s">
        <v>237</v>
      </c>
      <c r="C183" s="79"/>
      <c r="D183" s="79"/>
      <c r="E183" s="79"/>
      <c r="F183" s="79"/>
      <c r="G183" s="86">
        <v>980</v>
      </c>
      <c r="H183" s="87"/>
      <c r="I183" s="108" t="s">
        <v>229</v>
      </c>
      <c r="J183" s="40"/>
      <c r="K183" s="17"/>
      <c r="L183" s="78" t="s">
        <v>237</v>
      </c>
      <c r="M183" s="79"/>
      <c r="N183" s="79"/>
      <c r="O183" s="79"/>
      <c r="P183" s="79"/>
      <c r="Q183" s="86">
        <v>13258</v>
      </c>
      <c r="R183" s="87"/>
      <c r="S183" s="108" t="s">
        <v>229</v>
      </c>
    </row>
    <row r="184" spans="1:19" ht="15.75" customHeight="1" thickBot="1" x14ac:dyDescent="0.3">
      <c r="A184" s="18"/>
      <c r="B184" s="110" t="s">
        <v>238</v>
      </c>
      <c r="C184" s="111"/>
      <c r="D184" s="111"/>
      <c r="E184" s="111"/>
      <c r="F184" s="111"/>
      <c r="G184" s="90"/>
      <c r="H184" s="91"/>
      <c r="I184" s="109"/>
      <c r="J184" s="45"/>
      <c r="K184" s="18"/>
      <c r="L184" s="110" t="s">
        <v>238</v>
      </c>
      <c r="M184" s="111"/>
      <c r="N184" s="111"/>
      <c r="O184" s="111"/>
      <c r="P184" s="111"/>
      <c r="Q184" s="90"/>
      <c r="R184" s="91"/>
      <c r="S184" s="109"/>
    </row>
    <row r="185" spans="1:19" ht="27.75" customHeight="1" thickBot="1" x14ac:dyDescent="0.3">
      <c r="A185" s="19"/>
      <c r="B185" s="112" t="s">
        <v>239</v>
      </c>
      <c r="C185" s="113"/>
      <c r="D185" s="113"/>
      <c r="E185" s="113"/>
      <c r="F185" s="113"/>
      <c r="G185" s="114">
        <f>SUM(G164:H184)</f>
        <v>46622.54</v>
      </c>
      <c r="H185" s="115"/>
      <c r="I185" s="20"/>
      <c r="J185" s="46"/>
      <c r="K185" s="19"/>
      <c r="L185" s="112" t="s">
        <v>239</v>
      </c>
      <c r="M185" s="113"/>
      <c r="N185" s="113"/>
      <c r="O185" s="113"/>
      <c r="P185" s="113"/>
      <c r="Q185" s="114">
        <f>SUM(Q164:R184)</f>
        <v>95301.135999999999</v>
      </c>
      <c r="R185" s="115"/>
      <c r="S185" s="20"/>
    </row>
    <row r="186" spans="1:19" ht="27.75" customHeight="1" thickBot="1" x14ac:dyDescent="0.3">
      <c r="A186" s="21"/>
      <c r="B186" s="101" t="s">
        <v>240</v>
      </c>
      <c r="C186" s="102"/>
      <c r="D186" s="102"/>
      <c r="E186" s="102"/>
      <c r="F186" s="102"/>
      <c r="G186" s="116">
        <f>G185*1.2</f>
        <v>55947.048000000003</v>
      </c>
      <c r="H186" s="117"/>
      <c r="I186" s="22"/>
      <c r="J186" s="47"/>
      <c r="K186" s="21"/>
      <c r="L186" s="101" t="s">
        <v>240</v>
      </c>
      <c r="M186" s="102"/>
      <c r="N186" s="102"/>
      <c r="O186" s="102"/>
      <c r="P186" s="102"/>
      <c r="Q186" s="116">
        <f>Q185*1.2</f>
        <v>114361.36319999999</v>
      </c>
      <c r="R186" s="117"/>
      <c r="S186" s="22"/>
    </row>
    <row r="187" spans="1:19" ht="27.75" customHeight="1" thickBot="1" x14ac:dyDescent="0.3">
      <c r="A187" s="24"/>
      <c r="B187" s="96" t="s">
        <v>443</v>
      </c>
      <c r="C187" s="97"/>
      <c r="D187" s="97"/>
      <c r="E187" s="97"/>
      <c r="F187" s="97"/>
      <c r="G187" s="311">
        <v>56523</v>
      </c>
      <c r="H187" s="312"/>
      <c r="I187" s="313"/>
      <c r="J187" s="47"/>
      <c r="K187" s="24"/>
      <c r="L187" s="96" t="s">
        <v>443</v>
      </c>
      <c r="M187" s="97"/>
      <c r="N187" s="97"/>
      <c r="O187" s="97"/>
      <c r="P187" s="97"/>
      <c r="Q187" s="311">
        <v>113639.52</v>
      </c>
      <c r="R187" s="312"/>
      <c r="S187" s="313"/>
    </row>
    <row r="188" spans="1:19" ht="27.75" customHeight="1" thickBot="1" x14ac:dyDescent="0.3">
      <c r="A188" s="19"/>
      <c r="B188" s="101" t="s">
        <v>242</v>
      </c>
      <c r="C188" s="102"/>
      <c r="D188" s="102"/>
      <c r="E188" s="102"/>
      <c r="F188" s="102"/>
      <c r="G188" s="307">
        <v>48164.84</v>
      </c>
      <c r="H188" s="308"/>
      <c r="I188" s="309"/>
      <c r="J188" s="47"/>
      <c r="K188" s="19"/>
      <c r="L188" s="101" t="s">
        <v>242</v>
      </c>
      <c r="M188" s="102"/>
      <c r="N188" s="102"/>
      <c r="O188" s="102"/>
      <c r="P188" s="102"/>
      <c r="Q188" s="307">
        <v>108066.32</v>
      </c>
      <c r="R188" s="308"/>
      <c r="S188" s="309"/>
    </row>
    <row r="189" spans="1:19" ht="27.75" customHeight="1" thickBot="1" x14ac:dyDescent="0.3">
      <c r="A189" s="19"/>
      <c r="B189" s="106" t="s">
        <v>444</v>
      </c>
      <c r="C189" s="107"/>
      <c r="D189" s="107"/>
      <c r="E189" s="107"/>
      <c r="F189" s="107"/>
      <c r="G189" s="307">
        <v>41849.410000000003</v>
      </c>
      <c r="H189" s="308"/>
      <c r="I189" s="309"/>
      <c r="J189" s="47"/>
      <c r="K189" s="19"/>
      <c r="L189" s="106" t="s">
        <v>444</v>
      </c>
      <c r="M189" s="107"/>
      <c r="N189" s="107"/>
      <c r="O189" s="107"/>
      <c r="P189" s="107"/>
      <c r="Q189" s="307">
        <v>34553.51</v>
      </c>
      <c r="R189" s="308"/>
      <c r="S189" s="309"/>
    </row>
    <row r="190" spans="1:19" x14ac:dyDescent="0.25">
      <c r="A190" s="4"/>
      <c r="B190" s="195"/>
      <c r="C190" s="195"/>
      <c r="D190" s="195"/>
      <c r="E190" s="195"/>
      <c r="F190" s="195"/>
      <c r="G190" s="195"/>
      <c r="H190" s="195"/>
      <c r="I190" s="195"/>
      <c r="K190" s="4"/>
      <c r="L190" s="26"/>
      <c r="M190" s="26"/>
      <c r="N190" s="26"/>
      <c r="O190" s="26"/>
      <c r="P190" s="26"/>
      <c r="Q190" s="27"/>
      <c r="R190" s="3"/>
      <c r="S190" s="3"/>
    </row>
    <row r="191" spans="1:19" ht="15.75" x14ac:dyDescent="0.25">
      <c r="A191" s="3"/>
      <c r="B191" s="338"/>
      <c r="C191" s="338"/>
      <c r="D191" s="338"/>
      <c r="E191" s="338"/>
      <c r="F191" s="338"/>
      <c r="G191" s="338"/>
      <c r="H191" s="338"/>
      <c r="I191" s="338"/>
      <c r="N191" s="30"/>
    </row>
    <row r="192" spans="1:19" ht="15.75" x14ac:dyDescent="0.25">
      <c r="A192" s="30"/>
      <c r="C192" s="30"/>
      <c r="K192" s="30"/>
      <c r="N192" s="30"/>
    </row>
    <row r="193" spans="1:19" ht="15.75" x14ac:dyDescent="0.25">
      <c r="A193" s="30"/>
      <c r="C193" s="30"/>
      <c r="K193" s="30"/>
      <c r="N193" s="30"/>
    </row>
    <row r="194" spans="1:19" ht="15.75" x14ac:dyDescent="0.25">
      <c r="A194" s="30"/>
      <c r="C194" s="30"/>
      <c r="K194" s="30"/>
      <c r="N194" s="30"/>
    </row>
    <row r="195" spans="1:19" x14ac:dyDescent="0.25">
      <c r="A195" s="3"/>
      <c r="B195" s="3"/>
      <c r="C195" s="3"/>
      <c r="D195" s="3"/>
      <c r="E195" s="4" t="s">
        <v>204</v>
      </c>
      <c r="F195" s="3"/>
      <c r="G195" s="3"/>
      <c r="H195" s="3"/>
      <c r="I195" s="3"/>
      <c r="K195" s="3"/>
      <c r="L195" s="3"/>
      <c r="M195" s="3"/>
      <c r="N195" s="3"/>
      <c r="O195" s="4" t="s">
        <v>204</v>
      </c>
      <c r="P195" s="3"/>
      <c r="Q195" s="3"/>
      <c r="R195" s="3"/>
      <c r="S195" s="3"/>
    </row>
    <row r="196" spans="1:19" x14ac:dyDescent="0.25">
      <c r="A196" s="3" t="s">
        <v>205</v>
      </c>
      <c r="B196" s="3"/>
      <c r="C196" s="3"/>
      <c r="D196" s="3" t="s">
        <v>399</v>
      </c>
      <c r="E196" s="3"/>
      <c r="F196" s="3"/>
      <c r="G196" s="3"/>
      <c r="H196" s="3"/>
      <c r="I196" s="3"/>
      <c r="K196" s="3" t="s">
        <v>205</v>
      </c>
      <c r="L196" s="3"/>
      <c r="M196" s="3"/>
      <c r="N196" s="3" t="s">
        <v>400</v>
      </c>
      <c r="O196" s="3"/>
      <c r="P196" s="3"/>
      <c r="Q196" s="3"/>
      <c r="R196" s="3"/>
      <c r="S196" s="3"/>
    </row>
    <row r="197" spans="1:19" ht="15" customHeight="1" x14ac:dyDescent="0.25">
      <c r="A197" s="3"/>
      <c r="B197" s="5" t="s">
        <v>440</v>
      </c>
      <c r="C197" s="3"/>
      <c r="D197" s="3"/>
      <c r="E197" s="3"/>
      <c r="F197" s="3"/>
      <c r="G197" s="3"/>
      <c r="H197" s="3"/>
      <c r="I197" s="3"/>
      <c r="K197" s="3"/>
      <c r="L197" s="5" t="s">
        <v>440</v>
      </c>
      <c r="M197" s="3"/>
      <c r="N197" s="3"/>
      <c r="O197" s="3"/>
      <c r="P197" s="3"/>
      <c r="Q197" s="3"/>
      <c r="R197" s="3"/>
      <c r="S197" s="3"/>
    </row>
    <row r="198" spans="1:19" ht="15" customHeight="1" x14ac:dyDescent="0.25">
      <c r="A198" s="3"/>
      <c r="B198" s="5" t="s">
        <v>206</v>
      </c>
      <c r="C198" s="3"/>
      <c r="D198" s="3"/>
      <c r="E198" s="3"/>
      <c r="F198" s="3">
        <v>1337.8</v>
      </c>
      <c r="G198" s="3" t="s">
        <v>207</v>
      </c>
      <c r="H198" s="3"/>
      <c r="I198" s="3"/>
      <c r="K198" s="3"/>
      <c r="L198" s="5" t="s">
        <v>206</v>
      </c>
      <c r="M198" s="3"/>
      <c r="N198" s="3"/>
      <c r="O198" s="3"/>
      <c r="P198" s="3">
        <v>1570.5</v>
      </c>
      <c r="Q198" s="3" t="s">
        <v>207</v>
      </c>
      <c r="R198" s="3"/>
      <c r="S198" s="3"/>
    </row>
    <row r="199" spans="1:19" ht="15" customHeight="1" thickBot="1" x14ac:dyDescent="0.3">
      <c r="A199" s="3"/>
      <c r="B199" s="3"/>
      <c r="C199" s="3"/>
      <c r="D199" s="4"/>
      <c r="E199" s="4"/>
      <c r="F199" s="3"/>
      <c r="G199" s="3"/>
      <c r="H199" s="3"/>
      <c r="I199" s="3"/>
      <c r="J199" s="3"/>
      <c r="K199" s="3"/>
      <c r="L199" s="3"/>
      <c r="M199" s="3"/>
      <c r="N199" s="4"/>
      <c r="O199" s="4"/>
      <c r="P199" s="3"/>
      <c r="Q199" s="3"/>
      <c r="R199" s="3"/>
      <c r="S199" s="3"/>
    </row>
    <row r="200" spans="1:19" ht="8.25" customHeight="1" x14ac:dyDescent="0.25">
      <c r="A200" s="175" t="s">
        <v>209</v>
      </c>
      <c r="B200" s="177" t="s">
        <v>210</v>
      </c>
      <c r="C200" s="178"/>
      <c r="D200" s="178"/>
      <c r="E200" s="178"/>
      <c r="F200" s="178"/>
      <c r="G200" s="180" t="s">
        <v>441</v>
      </c>
      <c r="H200" s="181"/>
      <c r="I200" s="175" t="s">
        <v>212</v>
      </c>
      <c r="J200" s="3"/>
      <c r="K200" s="175" t="s">
        <v>209</v>
      </c>
      <c r="L200" s="177" t="s">
        <v>210</v>
      </c>
      <c r="M200" s="178"/>
      <c r="N200" s="178"/>
      <c r="O200" s="178"/>
      <c r="P200" s="178"/>
      <c r="Q200" s="180" t="s">
        <v>441</v>
      </c>
      <c r="R200" s="181"/>
      <c r="S200" s="175" t="s">
        <v>212</v>
      </c>
    </row>
    <row r="201" spans="1:19" ht="43.5" customHeight="1" thickBot="1" x14ac:dyDescent="0.3">
      <c r="A201" s="176"/>
      <c r="B201" s="179"/>
      <c r="C201" s="179"/>
      <c r="D201" s="179"/>
      <c r="E201" s="179"/>
      <c r="F201" s="179"/>
      <c r="G201" s="182"/>
      <c r="H201" s="183"/>
      <c r="I201" s="184"/>
      <c r="J201" s="3"/>
      <c r="K201" s="176"/>
      <c r="L201" s="179"/>
      <c r="M201" s="179"/>
      <c r="N201" s="179"/>
      <c r="O201" s="179"/>
      <c r="P201" s="179"/>
      <c r="Q201" s="182"/>
      <c r="R201" s="183"/>
      <c r="S201" s="184"/>
    </row>
    <row r="202" spans="1:19" ht="13.5" customHeight="1" x14ac:dyDescent="0.25">
      <c r="A202" s="185" t="s">
        <v>213</v>
      </c>
      <c r="B202" s="187" t="s">
        <v>354</v>
      </c>
      <c r="C202" s="188"/>
      <c r="D202" s="188"/>
      <c r="E202" s="188"/>
      <c r="F202" s="188"/>
      <c r="G202" s="190">
        <v>5686.14</v>
      </c>
      <c r="H202" s="191"/>
      <c r="I202" s="192"/>
      <c r="J202" s="51"/>
      <c r="K202" s="185" t="s">
        <v>213</v>
      </c>
      <c r="L202" s="187" t="s">
        <v>354</v>
      </c>
      <c r="M202" s="188"/>
      <c r="N202" s="188"/>
      <c r="O202" s="188"/>
      <c r="P202" s="188"/>
      <c r="Q202" s="190">
        <v>25251.040000000001</v>
      </c>
      <c r="R202" s="191"/>
      <c r="S202" s="192"/>
    </row>
    <row r="203" spans="1:19" ht="13.5" customHeight="1" thickBot="1" x14ac:dyDescent="0.3">
      <c r="A203" s="186"/>
      <c r="B203" s="189"/>
      <c r="C203" s="189"/>
      <c r="D203" s="189"/>
      <c r="E203" s="189"/>
      <c r="F203" s="189"/>
      <c r="G203" s="193"/>
      <c r="H203" s="194"/>
      <c r="I203" s="128"/>
      <c r="J203" s="52"/>
      <c r="K203" s="186"/>
      <c r="L203" s="189"/>
      <c r="M203" s="189"/>
      <c r="N203" s="189"/>
      <c r="O203" s="189"/>
      <c r="P203" s="189"/>
      <c r="Q203" s="193"/>
      <c r="R203" s="194"/>
      <c r="S203" s="128"/>
    </row>
    <row r="204" spans="1:19" ht="13.5" customHeight="1" x14ac:dyDescent="0.25">
      <c r="A204" s="6"/>
      <c r="B204" s="161" t="s">
        <v>214</v>
      </c>
      <c r="C204" s="162"/>
      <c r="D204" s="162"/>
      <c r="E204" s="162"/>
      <c r="F204" s="162"/>
      <c r="G204" s="163">
        <f>1.1*12*F198</f>
        <v>17658.96</v>
      </c>
      <c r="H204" s="164"/>
      <c r="I204" s="169" t="s">
        <v>215</v>
      </c>
      <c r="J204" s="63"/>
      <c r="K204" s="6"/>
      <c r="L204" s="161" t="s">
        <v>214</v>
      </c>
      <c r="M204" s="162"/>
      <c r="N204" s="162"/>
      <c r="O204" s="162"/>
      <c r="P204" s="162"/>
      <c r="Q204" s="163">
        <f>1.21*12*P198</f>
        <v>22803.66</v>
      </c>
      <c r="R204" s="164"/>
      <c r="S204" s="169" t="s">
        <v>215</v>
      </c>
    </row>
    <row r="205" spans="1:19" ht="42" customHeight="1" thickBot="1" x14ac:dyDescent="0.3">
      <c r="A205" s="7"/>
      <c r="B205" s="171" t="s">
        <v>216</v>
      </c>
      <c r="C205" s="172"/>
      <c r="D205" s="172"/>
      <c r="E205" s="172"/>
      <c r="F205" s="172"/>
      <c r="G205" s="165"/>
      <c r="H205" s="166"/>
      <c r="I205" s="170"/>
      <c r="J205" s="43"/>
      <c r="K205" s="7"/>
      <c r="L205" s="171" t="s">
        <v>216</v>
      </c>
      <c r="M205" s="172"/>
      <c r="N205" s="172"/>
      <c r="O205" s="172"/>
      <c r="P205" s="172"/>
      <c r="Q205" s="165"/>
      <c r="R205" s="166"/>
      <c r="S205" s="170"/>
    </row>
    <row r="206" spans="1:19" ht="13.5" customHeight="1" thickBot="1" x14ac:dyDescent="0.3">
      <c r="A206" s="7"/>
      <c r="B206" s="173" t="s">
        <v>217</v>
      </c>
      <c r="C206" s="174"/>
      <c r="D206" s="174"/>
      <c r="E206" s="174"/>
      <c r="F206" s="174"/>
      <c r="G206" s="167"/>
      <c r="H206" s="168"/>
      <c r="I206" s="8" t="s">
        <v>218</v>
      </c>
      <c r="J206" s="42"/>
      <c r="K206" s="7"/>
      <c r="L206" s="173" t="s">
        <v>217</v>
      </c>
      <c r="M206" s="174"/>
      <c r="N206" s="174"/>
      <c r="O206" s="174"/>
      <c r="P206" s="174"/>
      <c r="Q206" s="167"/>
      <c r="R206" s="168"/>
      <c r="S206" s="8" t="s">
        <v>218</v>
      </c>
    </row>
    <row r="207" spans="1:19" ht="13.5" customHeight="1" thickBot="1" x14ac:dyDescent="0.3">
      <c r="A207" s="7"/>
      <c r="B207" s="141" t="s">
        <v>219</v>
      </c>
      <c r="C207" s="142"/>
      <c r="D207" s="142"/>
      <c r="E207" s="142"/>
      <c r="F207" s="142"/>
      <c r="G207" s="143">
        <v>0</v>
      </c>
      <c r="H207" s="144"/>
      <c r="I207" s="8" t="s">
        <v>220</v>
      </c>
      <c r="J207" s="43"/>
      <c r="K207" s="7"/>
      <c r="L207" s="141" t="s">
        <v>219</v>
      </c>
      <c r="M207" s="142"/>
      <c r="N207" s="142"/>
      <c r="O207" s="142"/>
      <c r="P207" s="142"/>
      <c r="Q207" s="143">
        <v>0</v>
      </c>
      <c r="R207" s="144"/>
      <c r="S207" s="8" t="s">
        <v>220</v>
      </c>
    </row>
    <row r="208" spans="1:19" ht="13.5" customHeight="1" thickBot="1" x14ac:dyDescent="0.3">
      <c r="A208" s="7"/>
      <c r="B208" s="141" t="s">
        <v>221</v>
      </c>
      <c r="C208" s="142"/>
      <c r="D208" s="142"/>
      <c r="E208" s="142"/>
      <c r="F208" s="142"/>
      <c r="G208" s="143">
        <f>0.2*12*F198</f>
        <v>3210.7200000000003</v>
      </c>
      <c r="H208" s="144"/>
      <c r="I208" s="8" t="s">
        <v>222</v>
      </c>
      <c r="J208" s="55"/>
      <c r="K208" s="7"/>
      <c r="L208" s="141" t="s">
        <v>221</v>
      </c>
      <c r="M208" s="142"/>
      <c r="N208" s="142"/>
      <c r="O208" s="142"/>
      <c r="P208" s="142"/>
      <c r="Q208" s="143">
        <f>0.25*12*P198</f>
        <v>4711.5</v>
      </c>
      <c r="R208" s="144"/>
      <c r="S208" s="8" t="s">
        <v>222</v>
      </c>
    </row>
    <row r="209" spans="1:19" ht="13.5" customHeight="1" x14ac:dyDescent="0.25">
      <c r="A209" s="9"/>
      <c r="B209" s="145" t="s">
        <v>223</v>
      </c>
      <c r="C209" s="146"/>
      <c r="D209" s="146"/>
      <c r="E209" s="146"/>
      <c r="F209" s="146"/>
      <c r="G209" s="86">
        <f>1.71*12*F198</f>
        <v>27451.655999999999</v>
      </c>
      <c r="H209" s="147"/>
      <c r="I209" s="152" t="s">
        <v>224</v>
      </c>
      <c r="J209" s="56"/>
      <c r="K209" s="9"/>
      <c r="L209" s="145" t="s">
        <v>223</v>
      </c>
      <c r="M209" s="146"/>
      <c r="N209" s="146"/>
      <c r="O209" s="146"/>
      <c r="P209" s="146"/>
      <c r="Q209" s="86">
        <f>1.7*12*P198</f>
        <v>32038.199999999997</v>
      </c>
      <c r="R209" s="147"/>
      <c r="S209" s="152" t="s">
        <v>224</v>
      </c>
    </row>
    <row r="210" spans="1:19" ht="13.5" customHeight="1" x14ac:dyDescent="0.25">
      <c r="A210" s="10"/>
      <c r="B210" s="155" t="s">
        <v>226</v>
      </c>
      <c r="C210" s="156"/>
      <c r="D210" s="156"/>
      <c r="E210" s="156"/>
      <c r="F210" s="156"/>
      <c r="G210" s="148"/>
      <c r="H210" s="149"/>
      <c r="I210" s="153"/>
      <c r="J210" s="56"/>
      <c r="K210" s="10"/>
      <c r="L210" s="155" t="s">
        <v>226</v>
      </c>
      <c r="M210" s="156"/>
      <c r="N210" s="156"/>
      <c r="O210" s="156"/>
      <c r="P210" s="156"/>
      <c r="Q210" s="148"/>
      <c r="R210" s="149"/>
      <c r="S210" s="153"/>
    </row>
    <row r="211" spans="1:19" ht="13.5" customHeight="1" thickBot="1" x14ac:dyDescent="0.3">
      <c r="A211" s="10"/>
      <c r="B211" s="157" t="s">
        <v>227</v>
      </c>
      <c r="C211" s="158"/>
      <c r="D211" s="158"/>
      <c r="E211" s="158"/>
      <c r="F211" s="158"/>
      <c r="G211" s="148"/>
      <c r="H211" s="149"/>
      <c r="I211" s="154"/>
      <c r="J211" s="56"/>
      <c r="K211" s="10"/>
      <c r="L211" s="157" t="s">
        <v>227</v>
      </c>
      <c r="M211" s="158"/>
      <c r="N211" s="158"/>
      <c r="O211" s="158"/>
      <c r="P211" s="158"/>
      <c r="Q211" s="148"/>
      <c r="R211" s="149"/>
      <c r="S211" s="154"/>
    </row>
    <row r="212" spans="1:19" ht="15.75" customHeight="1" thickBot="1" x14ac:dyDescent="0.3">
      <c r="A212" s="10"/>
      <c r="B212" s="159" t="s">
        <v>228</v>
      </c>
      <c r="C212" s="160"/>
      <c r="D212" s="160"/>
      <c r="E212" s="160"/>
      <c r="F212" s="160"/>
      <c r="G212" s="150"/>
      <c r="H212" s="151"/>
      <c r="I212" s="11" t="s">
        <v>229</v>
      </c>
      <c r="J212" s="57"/>
      <c r="K212" s="10"/>
      <c r="L212" s="159" t="s">
        <v>228</v>
      </c>
      <c r="M212" s="160"/>
      <c r="N212" s="160"/>
      <c r="O212" s="160"/>
      <c r="P212" s="160"/>
      <c r="Q212" s="150"/>
      <c r="R212" s="151"/>
      <c r="S212" s="11" t="s">
        <v>229</v>
      </c>
    </row>
    <row r="213" spans="1:19" ht="15.75" customHeight="1" x14ac:dyDescent="0.25">
      <c r="A213" s="12"/>
      <c r="B213" s="125" t="s">
        <v>230</v>
      </c>
      <c r="C213" s="126"/>
      <c r="D213" s="126"/>
      <c r="E213" s="126"/>
      <c r="F213" s="126"/>
      <c r="G213" s="86">
        <f>0.02*12*F198</f>
        <v>321.072</v>
      </c>
      <c r="H213" s="87"/>
      <c r="I213" s="129" t="s">
        <v>220</v>
      </c>
      <c r="J213" s="43"/>
      <c r="K213" s="12"/>
      <c r="L213" s="125" t="s">
        <v>230</v>
      </c>
      <c r="M213" s="126"/>
      <c r="N213" s="126"/>
      <c r="O213" s="126"/>
      <c r="P213" s="126"/>
      <c r="Q213" s="86">
        <f>0.02*12*P198</f>
        <v>376.91999999999996</v>
      </c>
      <c r="R213" s="87"/>
      <c r="S213" s="129" t="s">
        <v>220</v>
      </c>
    </row>
    <row r="214" spans="1:19" ht="15.75" customHeight="1" thickBot="1" x14ac:dyDescent="0.3">
      <c r="A214" s="7"/>
      <c r="B214" s="131" t="s">
        <v>231</v>
      </c>
      <c r="C214" s="132"/>
      <c r="D214" s="132"/>
      <c r="E214" s="132"/>
      <c r="F214" s="132"/>
      <c r="G214" s="127"/>
      <c r="H214" s="128"/>
      <c r="I214" s="130"/>
      <c r="J214" s="43"/>
      <c r="K214" s="7"/>
      <c r="L214" s="131" t="s">
        <v>231</v>
      </c>
      <c r="M214" s="132"/>
      <c r="N214" s="132"/>
      <c r="O214" s="132"/>
      <c r="P214" s="132"/>
      <c r="Q214" s="127"/>
      <c r="R214" s="128"/>
      <c r="S214" s="130"/>
    </row>
    <row r="215" spans="1:19" ht="15.75" thickBot="1" x14ac:dyDescent="0.3">
      <c r="A215" s="13"/>
      <c r="B215" s="133" t="s">
        <v>232</v>
      </c>
      <c r="C215" s="134"/>
      <c r="D215" s="134"/>
      <c r="E215" s="134"/>
      <c r="F215" s="134"/>
      <c r="G215" s="135"/>
      <c r="H215" s="136"/>
      <c r="I215" s="14"/>
      <c r="J215" s="43"/>
      <c r="K215" s="13"/>
      <c r="L215" s="133" t="s">
        <v>232</v>
      </c>
      <c r="M215" s="134"/>
      <c r="N215" s="134"/>
      <c r="O215" s="134"/>
      <c r="P215" s="134"/>
      <c r="Q215" s="135"/>
      <c r="R215" s="136"/>
      <c r="S215" s="14"/>
    </row>
    <row r="216" spans="1:19" ht="15" customHeight="1" thickBot="1" x14ac:dyDescent="0.3">
      <c r="A216" s="13"/>
      <c r="B216" s="84" t="s">
        <v>233</v>
      </c>
      <c r="C216" s="85"/>
      <c r="D216" s="85"/>
      <c r="E216" s="85"/>
      <c r="F216" s="85"/>
      <c r="G216" s="86">
        <f>1.2*12*F198</f>
        <v>19264.319999999996</v>
      </c>
      <c r="H216" s="87"/>
      <c r="I216" s="320" t="s">
        <v>637</v>
      </c>
      <c r="J216" s="58"/>
      <c r="K216" s="13"/>
      <c r="L216" s="84" t="s">
        <v>233</v>
      </c>
      <c r="M216" s="85"/>
      <c r="N216" s="85"/>
      <c r="O216" s="85"/>
      <c r="P216" s="85"/>
      <c r="Q216" s="86">
        <f>1.14*12*P198</f>
        <v>21484.44</v>
      </c>
      <c r="R216" s="87"/>
      <c r="S216" s="92" t="s">
        <v>639</v>
      </c>
    </row>
    <row r="217" spans="1:19" ht="31.5" customHeight="1" x14ac:dyDescent="0.25">
      <c r="A217" s="118"/>
      <c r="B217" s="121" t="s">
        <v>226</v>
      </c>
      <c r="C217" s="122"/>
      <c r="D217" s="122"/>
      <c r="E217" s="122"/>
      <c r="F217" s="122"/>
      <c r="G217" s="88"/>
      <c r="H217" s="89"/>
      <c r="I217" s="321"/>
      <c r="J217" s="41"/>
      <c r="K217" s="118"/>
      <c r="L217" s="121" t="s">
        <v>226</v>
      </c>
      <c r="M217" s="122"/>
      <c r="N217" s="122"/>
      <c r="O217" s="122"/>
      <c r="P217" s="122"/>
      <c r="Q217" s="88"/>
      <c r="R217" s="89"/>
      <c r="S217" s="93"/>
    </row>
    <row r="218" spans="1:19" ht="30.95" customHeight="1" x14ac:dyDescent="0.25">
      <c r="A218" s="119"/>
      <c r="B218" s="121" t="s">
        <v>227</v>
      </c>
      <c r="C218" s="122"/>
      <c r="D218" s="122"/>
      <c r="E218" s="122"/>
      <c r="F218" s="122"/>
      <c r="G218" s="88"/>
      <c r="H218" s="89"/>
      <c r="I218" s="321"/>
      <c r="J218" s="41"/>
      <c r="K218" s="119"/>
      <c r="L218" s="121" t="s">
        <v>227</v>
      </c>
      <c r="M218" s="122"/>
      <c r="N218" s="122"/>
      <c r="O218" s="122"/>
      <c r="P218" s="122"/>
      <c r="Q218" s="88"/>
      <c r="R218" s="89"/>
      <c r="S218" s="93"/>
    </row>
    <row r="219" spans="1:19" ht="30.6" customHeight="1" x14ac:dyDescent="0.25">
      <c r="A219" s="119"/>
      <c r="B219" s="121" t="s">
        <v>228</v>
      </c>
      <c r="C219" s="122"/>
      <c r="D219" s="122"/>
      <c r="E219" s="122"/>
      <c r="F219" s="122"/>
      <c r="G219" s="88"/>
      <c r="H219" s="89"/>
      <c r="I219" s="321"/>
      <c r="J219" s="41"/>
      <c r="K219" s="119"/>
      <c r="L219" s="121" t="s">
        <v>228</v>
      </c>
      <c r="M219" s="122"/>
      <c r="N219" s="122"/>
      <c r="O219" s="122"/>
      <c r="P219" s="122"/>
      <c r="Q219" s="88"/>
      <c r="R219" s="89"/>
      <c r="S219" s="93"/>
    </row>
    <row r="220" spans="1:19" ht="33.950000000000003" customHeight="1" thickBot="1" x14ac:dyDescent="0.3">
      <c r="A220" s="120"/>
      <c r="B220" s="123" t="s">
        <v>234</v>
      </c>
      <c r="C220" s="124"/>
      <c r="D220" s="124"/>
      <c r="E220" s="124"/>
      <c r="F220" s="124"/>
      <c r="G220" s="90"/>
      <c r="H220" s="91"/>
      <c r="I220" s="322"/>
      <c r="J220" s="41"/>
      <c r="K220" s="120"/>
      <c r="L220" s="123" t="s">
        <v>234</v>
      </c>
      <c r="M220" s="124"/>
      <c r="N220" s="124"/>
      <c r="O220" s="124"/>
      <c r="P220" s="124"/>
      <c r="Q220" s="90"/>
      <c r="R220" s="91"/>
      <c r="S220" s="94"/>
    </row>
    <row r="221" spans="1:19" ht="15.75" hidden="1" customHeight="1" x14ac:dyDescent="0.25">
      <c r="A221" s="15"/>
      <c r="B221" s="137" t="s">
        <v>248</v>
      </c>
      <c r="C221" s="138"/>
      <c r="D221" s="138"/>
      <c r="E221" s="138"/>
      <c r="F221" s="138"/>
      <c r="G221" s="139"/>
      <c r="H221" s="140"/>
      <c r="I221" s="16"/>
      <c r="J221" s="42"/>
      <c r="K221" s="15"/>
      <c r="L221" s="137" t="s">
        <v>248</v>
      </c>
      <c r="M221" s="138"/>
      <c r="N221" s="138"/>
      <c r="O221" s="138"/>
      <c r="P221" s="138"/>
      <c r="Q221" s="139"/>
      <c r="R221" s="140"/>
      <c r="S221" s="16"/>
    </row>
    <row r="222" spans="1:19" ht="0.75" hidden="1" customHeight="1" x14ac:dyDescent="0.25">
      <c r="A222" s="15"/>
      <c r="B222" s="137" t="s">
        <v>235</v>
      </c>
      <c r="C222" s="138"/>
      <c r="D222" s="138"/>
      <c r="E222" s="138"/>
      <c r="F222" s="138"/>
      <c r="G222" s="139"/>
      <c r="H222" s="140"/>
      <c r="I222" s="16"/>
      <c r="J222" s="43"/>
      <c r="K222" s="15"/>
      <c r="L222" s="137" t="s">
        <v>235</v>
      </c>
      <c r="M222" s="138"/>
      <c r="N222" s="138"/>
      <c r="O222" s="138"/>
      <c r="P222" s="138"/>
      <c r="Q222" s="139"/>
      <c r="R222" s="140"/>
      <c r="S222" s="16"/>
    </row>
    <row r="223" spans="1:19" ht="27.75" customHeight="1" thickBot="1" x14ac:dyDescent="0.3">
      <c r="A223" s="17"/>
      <c r="B223" s="78" t="s">
        <v>237</v>
      </c>
      <c r="C223" s="79"/>
      <c r="D223" s="79"/>
      <c r="E223" s="79"/>
      <c r="F223" s="79"/>
      <c r="G223" s="86">
        <v>1765</v>
      </c>
      <c r="H223" s="87"/>
      <c r="I223" s="108" t="s">
        <v>229</v>
      </c>
      <c r="J223" s="59"/>
      <c r="K223" s="17"/>
      <c r="L223" s="78" t="s">
        <v>237</v>
      </c>
      <c r="M223" s="79"/>
      <c r="N223" s="79"/>
      <c r="O223" s="79"/>
      <c r="P223" s="79"/>
      <c r="Q223" s="86">
        <v>13258</v>
      </c>
      <c r="R223" s="87"/>
      <c r="S223" s="108" t="s">
        <v>229</v>
      </c>
    </row>
    <row r="224" spans="1:19" ht="15.75" customHeight="1" thickBot="1" x14ac:dyDescent="0.3">
      <c r="A224" s="18"/>
      <c r="B224" s="110" t="s">
        <v>238</v>
      </c>
      <c r="C224" s="111"/>
      <c r="D224" s="111"/>
      <c r="E224" s="111"/>
      <c r="F224" s="111"/>
      <c r="G224" s="90"/>
      <c r="H224" s="91"/>
      <c r="I224" s="109"/>
      <c r="J224" s="59"/>
      <c r="K224" s="18"/>
      <c r="L224" s="110" t="s">
        <v>238</v>
      </c>
      <c r="M224" s="111"/>
      <c r="N224" s="111"/>
      <c r="O224" s="111"/>
      <c r="P224" s="111"/>
      <c r="Q224" s="90"/>
      <c r="R224" s="91"/>
      <c r="S224" s="109"/>
    </row>
    <row r="225" spans="1:19" ht="24" customHeight="1" thickBot="1" x14ac:dyDescent="0.3">
      <c r="A225" s="19"/>
      <c r="B225" s="112" t="s">
        <v>239</v>
      </c>
      <c r="C225" s="113"/>
      <c r="D225" s="113"/>
      <c r="E225" s="113"/>
      <c r="F225" s="113"/>
      <c r="G225" s="114">
        <f>SUM(G204:H224)</f>
        <v>69671.727999999988</v>
      </c>
      <c r="H225" s="115"/>
      <c r="I225" s="20"/>
      <c r="J225" s="58"/>
      <c r="K225" s="19"/>
      <c r="L225" s="112" t="s">
        <v>239</v>
      </c>
      <c r="M225" s="113"/>
      <c r="N225" s="113"/>
      <c r="O225" s="113"/>
      <c r="P225" s="113"/>
      <c r="Q225" s="114">
        <f>SUM(Q204:R224)</f>
        <v>94672.72</v>
      </c>
      <c r="R225" s="115"/>
      <c r="S225" s="20"/>
    </row>
    <row r="226" spans="1:19" ht="24" customHeight="1" thickBot="1" x14ac:dyDescent="0.3">
      <c r="A226" s="21"/>
      <c r="B226" s="101" t="s">
        <v>240</v>
      </c>
      <c r="C226" s="102"/>
      <c r="D226" s="102"/>
      <c r="E226" s="102"/>
      <c r="F226" s="102"/>
      <c r="G226" s="116">
        <f>G225*1.2</f>
        <v>83606.073599999989</v>
      </c>
      <c r="H226" s="117"/>
      <c r="I226" s="22"/>
      <c r="J226" s="45"/>
      <c r="K226" s="21"/>
      <c r="L226" s="101" t="s">
        <v>240</v>
      </c>
      <c r="M226" s="102"/>
      <c r="N226" s="102"/>
      <c r="O226" s="102"/>
      <c r="P226" s="102"/>
      <c r="Q226" s="116">
        <f>Q225*1.2</f>
        <v>113607.264</v>
      </c>
      <c r="R226" s="117"/>
      <c r="S226" s="22"/>
    </row>
    <row r="227" spans="1:19" ht="24" customHeight="1" thickBot="1" x14ac:dyDescent="0.3">
      <c r="A227" s="24"/>
      <c r="B227" s="96" t="s">
        <v>443</v>
      </c>
      <c r="C227" s="97"/>
      <c r="D227" s="97"/>
      <c r="E227" s="97"/>
      <c r="F227" s="97"/>
      <c r="G227" s="311">
        <v>82028.19</v>
      </c>
      <c r="H227" s="312"/>
      <c r="I227" s="313"/>
      <c r="J227" s="41"/>
      <c r="K227" s="24"/>
      <c r="L227" s="96" t="s">
        <v>443</v>
      </c>
      <c r="M227" s="97"/>
      <c r="N227" s="97"/>
      <c r="O227" s="97"/>
      <c r="P227" s="97"/>
      <c r="Q227" s="311">
        <v>113089.86</v>
      </c>
      <c r="R227" s="312"/>
      <c r="S227" s="313"/>
    </row>
    <row r="228" spans="1:19" ht="24" customHeight="1" thickBot="1" x14ac:dyDescent="0.3">
      <c r="A228" s="19"/>
      <c r="B228" s="101" t="s">
        <v>242</v>
      </c>
      <c r="C228" s="102"/>
      <c r="D228" s="102"/>
      <c r="E228" s="102"/>
      <c r="F228" s="102"/>
      <c r="G228" s="307">
        <v>76832.45</v>
      </c>
      <c r="H228" s="308"/>
      <c r="I228" s="309"/>
      <c r="J228" s="41"/>
      <c r="K228" s="19"/>
      <c r="L228" s="101" t="s">
        <v>242</v>
      </c>
      <c r="M228" s="102"/>
      <c r="N228" s="102"/>
      <c r="O228" s="102"/>
      <c r="P228" s="102"/>
      <c r="Q228" s="307">
        <v>104179.9</v>
      </c>
      <c r="R228" s="308"/>
      <c r="S228" s="309"/>
    </row>
    <row r="229" spans="1:19" ht="24" customHeight="1" thickBot="1" x14ac:dyDescent="0.3">
      <c r="A229" s="19"/>
      <c r="B229" s="106" t="s">
        <v>444</v>
      </c>
      <c r="C229" s="107"/>
      <c r="D229" s="107"/>
      <c r="E229" s="107"/>
      <c r="F229" s="107"/>
      <c r="G229" s="307">
        <v>10881.88</v>
      </c>
      <c r="H229" s="308"/>
      <c r="I229" s="309"/>
      <c r="J229" s="64"/>
      <c r="K229" s="19"/>
      <c r="L229" s="106" t="s">
        <v>444</v>
      </c>
      <c r="M229" s="107"/>
      <c r="N229" s="107"/>
      <c r="O229" s="107"/>
      <c r="P229" s="107"/>
      <c r="Q229" s="282">
        <v>34161</v>
      </c>
      <c r="R229" s="336"/>
      <c r="S229" s="337"/>
    </row>
    <row r="230" spans="1:19" ht="32.450000000000003" customHeight="1" x14ac:dyDescent="0.25">
      <c r="A230" s="4"/>
      <c r="B230" s="26"/>
      <c r="C230" s="26"/>
      <c r="D230" s="26"/>
      <c r="E230" s="26"/>
      <c r="F230" s="26"/>
      <c r="G230" s="27"/>
      <c r="H230" s="3"/>
      <c r="I230" s="3"/>
      <c r="K230" s="4"/>
      <c r="L230" s="195" t="s">
        <v>638</v>
      </c>
      <c r="M230" s="195"/>
      <c r="N230" s="195"/>
      <c r="O230" s="195"/>
      <c r="P230" s="195"/>
      <c r="Q230" s="195"/>
      <c r="R230" s="195"/>
      <c r="S230" s="195"/>
    </row>
    <row r="231" spans="1:19" ht="15.75" x14ac:dyDescent="0.25">
      <c r="A231" s="30"/>
      <c r="C231" s="30"/>
      <c r="K231" s="30"/>
      <c r="M231" s="30"/>
    </row>
    <row r="232" spans="1:19" ht="15.75" x14ac:dyDescent="0.25">
      <c r="A232" s="30"/>
      <c r="C232" s="30"/>
    </row>
    <row r="233" spans="1:19" ht="15.75" x14ac:dyDescent="0.25">
      <c r="C233" s="30"/>
    </row>
    <row r="235" spans="1:19" x14ac:dyDescent="0.25">
      <c r="A235" s="3"/>
      <c r="B235" s="3"/>
      <c r="C235" s="3"/>
      <c r="D235" s="3"/>
      <c r="E235" s="4" t="s">
        <v>204</v>
      </c>
      <c r="F235" s="3"/>
      <c r="G235" s="3"/>
      <c r="H235" s="3"/>
      <c r="I235" s="3"/>
      <c r="K235" s="3"/>
      <c r="L235" s="3"/>
      <c r="M235" s="3"/>
      <c r="N235" s="3"/>
      <c r="O235" s="4" t="s">
        <v>204</v>
      </c>
      <c r="P235" s="3"/>
      <c r="Q235" s="3"/>
      <c r="R235" s="3"/>
      <c r="S235" s="3"/>
    </row>
    <row r="236" spans="1:19" x14ac:dyDescent="0.25">
      <c r="A236" s="3" t="s">
        <v>205</v>
      </c>
      <c r="B236" s="3"/>
      <c r="C236" s="3"/>
      <c r="D236" s="3" t="s">
        <v>401</v>
      </c>
      <c r="E236" s="3"/>
      <c r="F236" s="3"/>
      <c r="G236" s="3"/>
      <c r="H236" s="3"/>
      <c r="I236" s="3"/>
      <c r="K236" s="3" t="s">
        <v>205</v>
      </c>
      <c r="L236" s="3"/>
      <c r="M236" s="3"/>
      <c r="N236" s="3" t="s">
        <v>402</v>
      </c>
      <c r="O236" s="3"/>
      <c r="P236" s="3"/>
      <c r="Q236" s="3"/>
      <c r="R236" s="3"/>
      <c r="S236" s="3"/>
    </row>
    <row r="237" spans="1:19" ht="15" customHeight="1" x14ac:dyDescent="0.25">
      <c r="A237" s="3"/>
      <c r="B237" s="5" t="s">
        <v>440</v>
      </c>
      <c r="C237" s="3"/>
      <c r="D237" s="3"/>
      <c r="E237" s="3"/>
      <c r="F237" s="3"/>
      <c r="G237" s="3"/>
      <c r="H237" s="3"/>
      <c r="I237" s="3"/>
      <c r="K237" s="3"/>
      <c r="L237" s="5" t="s">
        <v>440</v>
      </c>
      <c r="M237" s="3"/>
      <c r="N237" s="3"/>
      <c r="O237" s="3"/>
      <c r="P237" s="3"/>
      <c r="Q237" s="3"/>
      <c r="R237" s="3"/>
      <c r="S237" s="3"/>
    </row>
    <row r="238" spans="1:19" ht="15.75" customHeight="1" x14ac:dyDescent="0.25">
      <c r="A238" s="3"/>
      <c r="B238" s="5" t="s">
        <v>206</v>
      </c>
      <c r="C238" s="3"/>
      <c r="D238" s="3"/>
      <c r="E238" s="3"/>
      <c r="F238" s="3">
        <v>1540.2</v>
      </c>
      <c r="G238" s="3" t="s">
        <v>207</v>
      </c>
      <c r="H238" s="3"/>
      <c r="I238" s="3"/>
      <c r="K238" s="3"/>
      <c r="L238" s="5" t="s">
        <v>206</v>
      </c>
      <c r="M238" s="3"/>
      <c r="N238" s="3"/>
      <c r="O238" s="3"/>
      <c r="P238" s="3">
        <v>1664.9</v>
      </c>
      <c r="Q238" s="3" t="s">
        <v>207</v>
      </c>
      <c r="R238" s="3"/>
      <c r="S238" s="3"/>
    </row>
    <row r="239" spans="1:19" ht="15" customHeight="1" thickBot="1" x14ac:dyDescent="0.3">
      <c r="A239" s="3"/>
      <c r="B239" s="3"/>
      <c r="C239" s="3"/>
      <c r="D239" s="4"/>
      <c r="E239" s="4"/>
      <c r="F239" s="3"/>
      <c r="G239" s="3"/>
      <c r="H239" s="3"/>
      <c r="I239" s="3"/>
      <c r="K239" s="3"/>
      <c r="L239" s="3"/>
      <c r="M239" s="3"/>
      <c r="N239" s="4"/>
      <c r="O239" s="4"/>
      <c r="P239" s="3"/>
      <c r="Q239" s="3"/>
      <c r="R239" s="3"/>
      <c r="S239" s="3"/>
    </row>
    <row r="240" spans="1:19" ht="15" customHeight="1" x14ac:dyDescent="0.25">
      <c r="A240" s="175" t="s">
        <v>209</v>
      </c>
      <c r="B240" s="177" t="s">
        <v>210</v>
      </c>
      <c r="C240" s="178"/>
      <c r="D240" s="178"/>
      <c r="E240" s="178"/>
      <c r="F240" s="178"/>
      <c r="G240" s="180" t="s">
        <v>441</v>
      </c>
      <c r="H240" s="181"/>
      <c r="I240" s="175" t="s">
        <v>212</v>
      </c>
      <c r="K240" s="175" t="s">
        <v>209</v>
      </c>
      <c r="L240" s="177" t="s">
        <v>210</v>
      </c>
      <c r="M240" s="178"/>
      <c r="N240" s="178"/>
      <c r="O240" s="178"/>
      <c r="P240" s="178"/>
      <c r="Q240" s="180" t="s">
        <v>441</v>
      </c>
      <c r="R240" s="181"/>
      <c r="S240" s="175" t="s">
        <v>212</v>
      </c>
    </row>
    <row r="241" spans="1:19" ht="51.75" customHeight="1" thickBot="1" x14ac:dyDescent="0.3">
      <c r="A241" s="176"/>
      <c r="B241" s="179"/>
      <c r="C241" s="179"/>
      <c r="D241" s="179"/>
      <c r="E241" s="179"/>
      <c r="F241" s="179"/>
      <c r="G241" s="182"/>
      <c r="H241" s="183"/>
      <c r="I241" s="184"/>
      <c r="K241" s="176"/>
      <c r="L241" s="179"/>
      <c r="M241" s="179"/>
      <c r="N241" s="179"/>
      <c r="O241" s="179"/>
      <c r="P241" s="179"/>
      <c r="Q241" s="182"/>
      <c r="R241" s="183"/>
      <c r="S241" s="184"/>
    </row>
    <row r="242" spans="1:19" ht="15.75" customHeight="1" x14ac:dyDescent="0.25">
      <c r="A242" s="185" t="s">
        <v>213</v>
      </c>
      <c r="B242" s="187" t="s">
        <v>354</v>
      </c>
      <c r="C242" s="188"/>
      <c r="D242" s="188"/>
      <c r="E242" s="188"/>
      <c r="F242" s="188"/>
      <c r="G242" s="190">
        <v>15530.69</v>
      </c>
      <c r="H242" s="191"/>
      <c r="I242" s="192"/>
      <c r="K242" s="185" t="s">
        <v>213</v>
      </c>
      <c r="L242" s="187" t="s">
        <v>354</v>
      </c>
      <c r="M242" s="188"/>
      <c r="N242" s="188"/>
      <c r="O242" s="188"/>
      <c r="P242" s="188"/>
      <c r="Q242" s="190">
        <v>22552.75</v>
      </c>
      <c r="R242" s="191"/>
      <c r="S242" s="192"/>
    </row>
    <row r="243" spans="1:19" ht="15.75" customHeight="1" thickBot="1" x14ac:dyDescent="0.3">
      <c r="A243" s="186"/>
      <c r="B243" s="189"/>
      <c r="C243" s="189"/>
      <c r="D243" s="189"/>
      <c r="E243" s="189"/>
      <c r="F243" s="189"/>
      <c r="G243" s="193"/>
      <c r="H243" s="194"/>
      <c r="I243" s="128"/>
      <c r="K243" s="186"/>
      <c r="L243" s="189"/>
      <c r="M243" s="189"/>
      <c r="N243" s="189"/>
      <c r="O243" s="189"/>
      <c r="P243" s="189"/>
      <c r="Q243" s="193"/>
      <c r="R243" s="194"/>
      <c r="S243" s="128"/>
    </row>
    <row r="244" spans="1:19" ht="15.75" customHeight="1" x14ac:dyDescent="0.25">
      <c r="A244" s="6"/>
      <c r="B244" s="161" t="s">
        <v>214</v>
      </c>
      <c r="C244" s="162"/>
      <c r="D244" s="162"/>
      <c r="E244" s="162"/>
      <c r="F244" s="162"/>
      <c r="G244" s="163">
        <f>1.29*12*F238</f>
        <v>23842.296000000002</v>
      </c>
      <c r="H244" s="164"/>
      <c r="I244" s="169" t="s">
        <v>215</v>
      </c>
      <c r="K244" s="6"/>
      <c r="L244" s="161" t="s">
        <v>214</v>
      </c>
      <c r="M244" s="162"/>
      <c r="N244" s="162"/>
      <c r="O244" s="162"/>
      <c r="P244" s="162"/>
      <c r="Q244" s="163">
        <f>1.17*12*P238</f>
        <v>23375.196</v>
      </c>
      <c r="R244" s="164"/>
      <c r="S244" s="169" t="s">
        <v>215</v>
      </c>
    </row>
    <row r="245" spans="1:19" ht="47.25" customHeight="1" thickBot="1" x14ac:dyDescent="0.3">
      <c r="A245" s="7"/>
      <c r="B245" s="171" t="s">
        <v>216</v>
      </c>
      <c r="C245" s="172"/>
      <c r="D245" s="172"/>
      <c r="E245" s="172"/>
      <c r="F245" s="172"/>
      <c r="G245" s="165"/>
      <c r="H245" s="166"/>
      <c r="I245" s="170"/>
      <c r="K245" s="7"/>
      <c r="L245" s="171" t="s">
        <v>216</v>
      </c>
      <c r="M245" s="172"/>
      <c r="N245" s="172"/>
      <c r="O245" s="172"/>
      <c r="P245" s="172"/>
      <c r="Q245" s="165"/>
      <c r="R245" s="166"/>
      <c r="S245" s="170"/>
    </row>
    <row r="246" spans="1:19" ht="15" customHeight="1" thickBot="1" x14ac:dyDescent="0.3">
      <c r="A246" s="7"/>
      <c r="B246" s="173" t="s">
        <v>217</v>
      </c>
      <c r="C246" s="174"/>
      <c r="D246" s="174"/>
      <c r="E246" s="174"/>
      <c r="F246" s="174"/>
      <c r="G246" s="167"/>
      <c r="H246" s="168"/>
      <c r="I246" s="8" t="s">
        <v>218</v>
      </c>
      <c r="K246" s="7"/>
      <c r="L246" s="173" t="s">
        <v>217</v>
      </c>
      <c r="M246" s="174"/>
      <c r="N246" s="174"/>
      <c r="O246" s="174"/>
      <c r="P246" s="174"/>
      <c r="Q246" s="167"/>
      <c r="R246" s="168"/>
      <c r="S246" s="8" t="s">
        <v>218</v>
      </c>
    </row>
    <row r="247" spans="1:19" ht="15.75" thickBot="1" x14ac:dyDescent="0.3">
      <c r="A247" s="7"/>
      <c r="B247" s="141" t="s">
        <v>219</v>
      </c>
      <c r="C247" s="142"/>
      <c r="D247" s="142"/>
      <c r="E247" s="142"/>
      <c r="F247" s="142"/>
      <c r="G247" s="143">
        <v>0</v>
      </c>
      <c r="H247" s="144"/>
      <c r="I247" s="8" t="s">
        <v>220</v>
      </c>
      <c r="K247" s="7"/>
      <c r="L247" s="141" t="s">
        <v>219</v>
      </c>
      <c r="M247" s="142"/>
      <c r="N247" s="142"/>
      <c r="O247" s="142"/>
      <c r="P247" s="142"/>
      <c r="Q247" s="143">
        <v>0</v>
      </c>
      <c r="R247" s="144"/>
      <c r="S247" s="8" t="s">
        <v>220</v>
      </c>
    </row>
    <row r="248" spans="1:19" ht="15.75" thickBot="1" x14ac:dyDescent="0.3">
      <c r="A248" s="7"/>
      <c r="B248" s="141" t="s">
        <v>221</v>
      </c>
      <c r="C248" s="142"/>
      <c r="D248" s="142"/>
      <c r="E248" s="142"/>
      <c r="F248" s="142"/>
      <c r="G248" s="143">
        <f>0.25*12*F238</f>
        <v>4620.6000000000004</v>
      </c>
      <c r="H248" s="144"/>
      <c r="I248" s="8" t="s">
        <v>222</v>
      </c>
      <c r="K248" s="7"/>
      <c r="L248" s="141" t="s">
        <v>221</v>
      </c>
      <c r="M248" s="142"/>
      <c r="N248" s="142"/>
      <c r="O248" s="142"/>
      <c r="P248" s="142"/>
      <c r="Q248" s="143">
        <f>0.25*12*P238</f>
        <v>4994.7000000000007</v>
      </c>
      <c r="R248" s="144"/>
      <c r="S248" s="8" t="s">
        <v>222</v>
      </c>
    </row>
    <row r="249" spans="1:19" x14ac:dyDescent="0.25">
      <c r="A249" s="9"/>
      <c r="B249" s="145" t="s">
        <v>223</v>
      </c>
      <c r="C249" s="146"/>
      <c r="D249" s="146"/>
      <c r="E249" s="146"/>
      <c r="F249" s="146"/>
      <c r="G249" s="86">
        <f>1.61*12*F238</f>
        <v>29756.664000000001</v>
      </c>
      <c r="H249" s="147"/>
      <c r="I249" s="152" t="s">
        <v>224</v>
      </c>
      <c r="K249" s="9"/>
      <c r="L249" s="145" t="s">
        <v>223</v>
      </c>
      <c r="M249" s="146"/>
      <c r="N249" s="146"/>
      <c r="O249" s="146"/>
      <c r="P249" s="146"/>
      <c r="Q249" s="86">
        <f>1.59*12*P238</f>
        <v>31766.292000000005</v>
      </c>
      <c r="R249" s="147"/>
      <c r="S249" s="152" t="s">
        <v>224</v>
      </c>
    </row>
    <row r="250" spans="1:19" x14ac:dyDescent="0.25">
      <c r="A250" s="10"/>
      <c r="B250" s="155" t="s">
        <v>226</v>
      </c>
      <c r="C250" s="156"/>
      <c r="D250" s="156"/>
      <c r="E250" s="156"/>
      <c r="F250" s="156"/>
      <c r="G250" s="148"/>
      <c r="H250" s="149"/>
      <c r="I250" s="153"/>
      <c r="K250" s="10"/>
      <c r="L250" s="155" t="s">
        <v>226</v>
      </c>
      <c r="M250" s="156"/>
      <c r="N250" s="156"/>
      <c r="O250" s="156"/>
      <c r="P250" s="156"/>
      <c r="Q250" s="148"/>
      <c r="R250" s="149"/>
      <c r="S250" s="153"/>
    </row>
    <row r="251" spans="1:19" ht="15.75" thickBot="1" x14ac:dyDescent="0.3">
      <c r="A251" s="10"/>
      <c r="B251" s="157" t="s">
        <v>227</v>
      </c>
      <c r="C251" s="158"/>
      <c r="D251" s="158"/>
      <c r="E251" s="158"/>
      <c r="F251" s="158"/>
      <c r="G251" s="148"/>
      <c r="H251" s="149"/>
      <c r="I251" s="154"/>
      <c r="K251" s="10"/>
      <c r="L251" s="157" t="s">
        <v>227</v>
      </c>
      <c r="M251" s="158"/>
      <c r="N251" s="158"/>
      <c r="O251" s="158"/>
      <c r="P251" s="158"/>
      <c r="Q251" s="148"/>
      <c r="R251" s="149"/>
      <c r="S251" s="154"/>
    </row>
    <row r="252" spans="1:19" ht="15.75" customHeight="1" thickBot="1" x14ac:dyDescent="0.3">
      <c r="A252" s="10"/>
      <c r="B252" s="159" t="s">
        <v>228</v>
      </c>
      <c r="C252" s="160"/>
      <c r="D252" s="160"/>
      <c r="E252" s="160"/>
      <c r="F252" s="160"/>
      <c r="G252" s="150"/>
      <c r="H252" s="151"/>
      <c r="I252" s="11" t="s">
        <v>229</v>
      </c>
      <c r="K252" s="10"/>
      <c r="L252" s="159" t="s">
        <v>228</v>
      </c>
      <c r="M252" s="160"/>
      <c r="N252" s="160"/>
      <c r="O252" s="160"/>
      <c r="P252" s="160"/>
      <c r="Q252" s="150"/>
      <c r="R252" s="151"/>
      <c r="S252" s="11" t="s">
        <v>229</v>
      </c>
    </row>
    <row r="253" spans="1:19" ht="15.75" customHeight="1" x14ac:dyDescent="0.25">
      <c r="A253" s="12"/>
      <c r="B253" s="125" t="s">
        <v>230</v>
      </c>
      <c r="C253" s="126"/>
      <c r="D253" s="126"/>
      <c r="E253" s="126"/>
      <c r="F253" s="126"/>
      <c r="G253" s="86">
        <f>0.02*12*F238</f>
        <v>369.64800000000002</v>
      </c>
      <c r="H253" s="87"/>
      <c r="I253" s="129" t="s">
        <v>220</v>
      </c>
      <c r="K253" s="12"/>
      <c r="L253" s="125" t="s">
        <v>230</v>
      </c>
      <c r="M253" s="126"/>
      <c r="N253" s="126"/>
      <c r="O253" s="126"/>
      <c r="P253" s="126"/>
      <c r="Q253" s="86">
        <f>0.02*12*P238</f>
        <v>399.57600000000002</v>
      </c>
      <c r="R253" s="87"/>
      <c r="S253" s="129" t="s">
        <v>220</v>
      </c>
    </row>
    <row r="254" spans="1:19" ht="15.75" thickBot="1" x14ac:dyDescent="0.3">
      <c r="A254" s="7"/>
      <c r="B254" s="131" t="s">
        <v>231</v>
      </c>
      <c r="C254" s="132"/>
      <c r="D254" s="132"/>
      <c r="E254" s="132"/>
      <c r="F254" s="132"/>
      <c r="G254" s="127"/>
      <c r="H254" s="128"/>
      <c r="I254" s="130"/>
      <c r="K254" s="7"/>
      <c r="L254" s="131" t="s">
        <v>231</v>
      </c>
      <c r="M254" s="132"/>
      <c r="N254" s="132"/>
      <c r="O254" s="132"/>
      <c r="P254" s="132"/>
      <c r="Q254" s="127"/>
      <c r="R254" s="128"/>
      <c r="S254" s="130"/>
    </row>
    <row r="255" spans="1:19" ht="15.75" thickBot="1" x14ac:dyDescent="0.3">
      <c r="A255" s="13"/>
      <c r="B255" s="133" t="s">
        <v>232</v>
      </c>
      <c r="C255" s="134"/>
      <c r="D255" s="134"/>
      <c r="E255" s="134"/>
      <c r="F255" s="134"/>
      <c r="G255" s="135"/>
      <c r="H255" s="136"/>
      <c r="I255" s="14"/>
      <c r="K255" s="13"/>
      <c r="L255" s="133" t="s">
        <v>232</v>
      </c>
      <c r="M255" s="134"/>
      <c r="N255" s="134"/>
      <c r="O255" s="134"/>
      <c r="P255" s="134"/>
      <c r="Q255" s="135"/>
      <c r="R255" s="136"/>
      <c r="S255" s="14"/>
    </row>
    <row r="256" spans="1:19" ht="33.950000000000003" customHeight="1" thickBot="1" x14ac:dyDescent="0.3">
      <c r="A256" s="13"/>
      <c r="B256" s="84" t="s">
        <v>233</v>
      </c>
      <c r="C256" s="85"/>
      <c r="D256" s="85"/>
      <c r="E256" s="85"/>
      <c r="F256" s="85"/>
      <c r="G256" s="86">
        <f>1.15*12*F238</f>
        <v>21254.76</v>
      </c>
      <c r="H256" s="87"/>
      <c r="I256" s="92" t="s">
        <v>640</v>
      </c>
      <c r="K256" s="13"/>
      <c r="L256" s="84" t="s">
        <v>233</v>
      </c>
      <c r="M256" s="85"/>
      <c r="N256" s="85"/>
      <c r="O256" s="85"/>
      <c r="P256" s="85"/>
      <c r="Q256" s="86">
        <f>1.14*12*P238</f>
        <v>22775.832000000002</v>
      </c>
      <c r="R256" s="87"/>
      <c r="S256" s="92" t="s">
        <v>642</v>
      </c>
    </row>
    <row r="257" spans="1:19" ht="33.75" customHeight="1" x14ac:dyDescent="0.25">
      <c r="A257" s="118"/>
      <c r="B257" s="121" t="s">
        <v>226</v>
      </c>
      <c r="C257" s="122"/>
      <c r="D257" s="122"/>
      <c r="E257" s="122"/>
      <c r="F257" s="122"/>
      <c r="G257" s="88"/>
      <c r="H257" s="89"/>
      <c r="I257" s="93"/>
      <c r="K257" s="118"/>
      <c r="L257" s="121" t="s">
        <v>226</v>
      </c>
      <c r="M257" s="122"/>
      <c r="N257" s="122"/>
      <c r="O257" s="122"/>
      <c r="P257" s="122"/>
      <c r="Q257" s="88"/>
      <c r="R257" s="89"/>
      <c r="S257" s="93"/>
    </row>
    <row r="258" spans="1:19" ht="30.75" customHeight="1" x14ac:dyDescent="0.25">
      <c r="A258" s="119"/>
      <c r="B258" s="121" t="s">
        <v>227</v>
      </c>
      <c r="C258" s="122"/>
      <c r="D258" s="122"/>
      <c r="E258" s="122"/>
      <c r="F258" s="122"/>
      <c r="G258" s="88"/>
      <c r="H258" s="89"/>
      <c r="I258" s="93"/>
      <c r="K258" s="119"/>
      <c r="L258" s="121" t="s">
        <v>227</v>
      </c>
      <c r="M258" s="122"/>
      <c r="N258" s="122"/>
      <c r="O258" s="122"/>
      <c r="P258" s="122"/>
      <c r="Q258" s="88"/>
      <c r="R258" s="89"/>
      <c r="S258" s="93"/>
    </row>
    <row r="259" spans="1:19" ht="37.5" customHeight="1" x14ac:dyDescent="0.25">
      <c r="A259" s="119"/>
      <c r="B259" s="121" t="s">
        <v>228</v>
      </c>
      <c r="C259" s="122"/>
      <c r="D259" s="122"/>
      <c r="E259" s="122"/>
      <c r="F259" s="122"/>
      <c r="G259" s="88"/>
      <c r="H259" s="89"/>
      <c r="I259" s="93"/>
      <c r="K259" s="119"/>
      <c r="L259" s="121" t="s">
        <v>228</v>
      </c>
      <c r="M259" s="122"/>
      <c r="N259" s="122"/>
      <c r="O259" s="122"/>
      <c r="P259" s="122"/>
      <c r="Q259" s="88"/>
      <c r="R259" s="89"/>
      <c r="S259" s="93"/>
    </row>
    <row r="260" spans="1:19" ht="58.5" customHeight="1" thickBot="1" x14ac:dyDescent="0.3">
      <c r="A260" s="120"/>
      <c r="B260" s="123" t="s">
        <v>234</v>
      </c>
      <c r="C260" s="124"/>
      <c r="D260" s="124"/>
      <c r="E260" s="124"/>
      <c r="F260" s="124"/>
      <c r="G260" s="90"/>
      <c r="H260" s="91"/>
      <c r="I260" s="94"/>
      <c r="K260" s="120"/>
      <c r="L260" s="123" t="s">
        <v>234</v>
      </c>
      <c r="M260" s="124"/>
      <c r="N260" s="124"/>
      <c r="O260" s="124"/>
      <c r="P260" s="124"/>
      <c r="Q260" s="90"/>
      <c r="R260" s="91"/>
      <c r="S260" s="94"/>
    </row>
    <row r="261" spans="1:19" ht="0.75" customHeight="1" thickBot="1" x14ac:dyDescent="0.3">
      <c r="A261" s="15"/>
      <c r="B261" s="137" t="s">
        <v>248</v>
      </c>
      <c r="C261" s="138"/>
      <c r="D261" s="138"/>
      <c r="E261" s="138"/>
      <c r="F261" s="138"/>
      <c r="G261" s="139"/>
      <c r="H261" s="140"/>
      <c r="I261" s="16"/>
      <c r="K261" s="15"/>
      <c r="L261" s="137" t="s">
        <v>248</v>
      </c>
      <c r="M261" s="138"/>
      <c r="N261" s="138"/>
      <c r="O261" s="138"/>
      <c r="P261" s="138"/>
      <c r="Q261" s="139"/>
      <c r="R261" s="140"/>
      <c r="S261" s="16"/>
    </row>
    <row r="262" spans="1:19" ht="1.5" customHeight="1" thickBot="1" x14ac:dyDescent="0.3">
      <c r="A262" s="15"/>
      <c r="B262" s="137" t="s">
        <v>235</v>
      </c>
      <c r="C262" s="138"/>
      <c r="D262" s="138"/>
      <c r="E262" s="138"/>
      <c r="F262" s="138"/>
      <c r="G262" s="139"/>
      <c r="H262" s="140"/>
      <c r="I262" s="16"/>
      <c r="K262" s="15"/>
      <c r="L262" s="137" t="s">
        <v>235</v>
      </c>
      <c r="M262" s="138"/>
      <c r="N262" s="138"/>
      <c r="O262" s="138"/>
      <c r="P262" s="138"/>
      <c r="Q262" s="139"/>
      <c r="R262" s="140"/>
      <c r="S262" s="16"/>
    </row>
    <row r="263" spans="1:19" ht="38.25" customHeight="1" thickBot="1" x14ac:dyDescent="0.3">
      <c r="A263" s="17"/>
      <c r="B263" s="78" t="s">
        <v>237</v>
      </c>
      <c r="C263" s="79"/>
      <c r="D263" s="79"/>
      <c r="E263" s="79"/>
      <c r="F263" s="79"/>
      <c r="G263" s="86">
        <v>8065</v>
      </c>
      <c r="H263" s="87"/>
      <c r="I263" s="108" t="s">
        <v>229</v>
      </c>
      <c r="K263" s="17"/>
      <c r="L263" s="78" t="s">
        <v>237</v>
      </c>
      <c r="M263" s="79"/>
      <c r="N263" s="79"/>
      <c r="O263" s="79"/>
      <c r="P263" s="79"/>
      <c r="Q263" s="86">
        <v>3697</v>
      </c>
      <c r="R263" s="87"/>
      <c r="S263" s="108" t="s">
        <v>229</v>
      </c>
    </row>
    <row r="264" spans="1:19" ht="15.75" customHeight="1" thickBot="1" x14ac:dyDescent="0.3">
      <c r="A264" s="18"/>
      <c r="B264" s="110" t="s">
        <v>238</v>
      </c>
      <c r="C264" s="111"/>
      <c r="D264" s="111"/>
      <c r="E264" s="111"/>
      <c r="F264" s="111"/>
      <c r="G264" s="90"/>
      <c r="H264" s="91"/>
      <c r="I264" s="109"/>
      <c r="K264" s="18"/>
      <c r="L264" s="110" t="s">
        <v>238</v>
      </c>
      <c r="M264" s="111"/>
      <c r="N264" s="111"/>
      <c r="O264" s="111"/>
      <c r="P264" s="111"/>
      <c r="Q264" s="90"/>
      <c r="R264" s="91"/>
      <c r="S264" s="109"/>
    </row>
    <row r="265" spans="1:19" ht="15.75" thickBot="1" x14ac:dyDescent="0.3">
      <c r="A265" s="19"/>
      <c r="B265" s="112" t="s">
        <v>239</v>
      </c>
      <c r="C265" s="113"/>
      <c r="D265" s="113"/>
      <c r="E265" s="113"/>
      <c r="F265" s="113"/>
      <c r="G265" s="114">
        <f>SUM(G244:H264)</f>
        <v>87908.967999999993</v>
      </c>
      <c r="H265" s="115"/>
      <c r="I265" s="20"/>
      <c r="K265" s="19"/>
      <c r="L265" s="112" t="s">
        <v>239</v>
      </c>
      <c r="M265" s="113"/>
      <c r="N265" s="113"/>
      <c r="O265" s="113"/>
      <c r="P265" s="113"/>
      <c r="Q265" s="114">
        <f>SUM(Q244:R264)</f>
        <v>87008.59600000002</v>
      </c>
      <c r="R265" s="115"/>
      <c r="S265" s="20"/>
    </row>
    <row r="266" spans="1:19" ht="24" customHeight="1" thickBot="1" x14ac:dyDescent="0.3">
      <c r="A266" s="21"/>
      <c r="B266" s="101" t="s">
        <v>240</v>
      </c>
      <c r="C266" s="102"/>
      <c r="D266" s="102"/>
      <c r="E266" s="102"/>
      <c r="F266" s="102"/>
      <c r="G266" s="116">
        <f>G265*1.2</f>
        <v>105490.76159999998</v>
      </c>
      <c r="H266" s="117"/>
      <c r="I266" s="22"/>
      <c r="K266" s="21"/>
      <c r="L266" s="101" t="s">
        <v>240</v>
      </c>
      <c r="M266" s="102"/>
      <c r="N266" s="102"/>
      <c r="O266" s="102"/>
      <c r="P266" s="102"/>
      <c r="Q266" s="116">
        <f>Q265*1.2</f>
        <v>104410.31520000003</v>
      </c>
      <c r="R266" s="117"/>
      <c r="S266" s="22"/>
    </row>
    <row r="267" spans="1:19" ht="24" customHeight="1" thickBot="1" x14ac:dyDescent="0.3">
      <c r="A267" s="24"/>
      <c r="B267" s="96" t="s">
        <v>443</v>
      </c>
      <c r="C267" s="97"/>
      <c r="D267" s="97"/>
      <c r="E267" s="97"/>
      <c r="F267" s="97"/>
      <c r="G267" s="311">
        <v>105895.92</v>
      </c>
      <c r="H267" s="312"/>
      <c r="I267" s="313"/>
      <c r="K267" s="24"/>
      <c r="L267" s="96" t="s">
        <v>443</v>
      </c>
      <c r="M267" s="97"/>
      <c r="N267" s="97"/>
      <c r="O267" s="97"/>
      <c r="P267" s="97"/>
      <c r="Q267" s="311">
        <v>103906.98</v>
      </c>
      <c r="R267" s="312"/>
      <c r="S267" s="313"/>
    </row>
    <row r="268" spans="1:19" ht="24" customHeight="1" thickBot="1" x14ac:dyDescent="0.3">
      <c r="A268" s="19"/>
      <c r="B268" s="101" t="s">
        <v>242</v>
      </c>
      <c r="C268" s="102"/>
      <c r="D268" s="102"/>
      <c r="E268" s="102"/>
      <c r="F268" s="102"/>
      <c r="G268" s="307">
        <v>106302.85</v>
      </c>
      <c r="H268" s="308"/>
      <c r="I268" s="309"/>
      <c r="K268" s="19"/>
      <c r="L268" s="101" t="s">
        <v>242</v>
      </c>
      <c r="M268" s="102"/>
      <c r="N268" s="102"/>
      <c r="O268" s="102"/>
      <c r="P268" s="102"/>
      <c r="Q268" s="307">
        <v>106700.69</v>
      </c>
      <c r="R268" s="308"/>
      <c r="S268" s="309"/>
    </row>
    <row r="269" spans="1:19" ht="24" customHeight="1" thickBot="1" x14ac:dyDescent="0.3">
      <c r="A269" s="19"/>
      <c r="B269" s="106" t="s">
        <v>243</v>
      </c>
      <c r="C269" s="107"/>
      <c r="D269" s="107"/>
      <c r="E269" s="107"/>
      <c r="F269" s="107"/>
      <c r="G269" s="307">
        <v>15123.76</v>
      </c>
      <c r="H269" s="308"/>
      <c r="I269" s="309"/>
      <c r="K269" s="19"/>
      <c r="L269" s="106" t="s">
        <v>444</v>
      </c>
      <c r="M269" s="107"/>
      <c r="N269" s="107"/>
      <c r="O269" s="107"/>
      <c r="P269" s="107"/>
      <c r="Q269" s="307">
        <v>19759.04</v>
      </c>
      <c r="R269" s="308"/>
      <c r="S269" s="309"/>
    </row>
    <row r="270" spans="1:19" ht="27" customHeight="1" x14ac:dyDescent="0.25">
      <c r="A270" s="4"/>
      <c r="B270" s="26"/>
      <c r="C270" s="26"/>
      <c r="D270" s="26"/>
      <c r="E270" s="26"/>
      <c r="F270" s="26"/>
      <c r="G270" s="27"/>
      <c r="H270" s="3"/>
      <c r="I270" s="3"/>
      <c r="K270" s="4"/>
      <c r="L270" s="195" t="s">
        <v>641</v>
      </c>
      <c r="M270" s="195"/>
      <c r="N270" s="195"/>
      <c r="O270" s="195"/>
      <c r="P270" s="195"/>
      <c r="Q270" s="195"/>
      <c r="R270" s="195"/>
      <c r="S270" s="195"/>
    </row>
    <row r="271" spans="1:19" x14ac:dyDescent="0.25">
      <c r="E271" s="50"/>
      <c r="I271" s="5"/>
      <c r="O271" s="50"/>
      <c r="S271" s="5"/>
    </row>
    <row r="272" spans="1:19" x14ac:dyDescent="0.25">
      <c r="A272" s="3"/>
      <c r="I272" s="5"/>
      <c r="K272" s="3"/>
      <c r="S272" s="5"/>
    </row>
    <row r="273" spans="1:13" ht="15.75" x14ac:dyDescent="0.25">
      <c r="A273" s="3"/>
      <c r="C273" s="30"/>
      <c r="K273" s="3"/>
      <c r="M273" s="30"/>
    </row>
    <row r="274" spans="1:13" ht="15.75" x14ac:dyDescent="0.25">
      <c r="A274" s="30"/>
      <c r="C274" s="30"/>
      <c r="K274" s="30"/>
      <c r="M274" s="30"/>
    </row>
  </sheetData>
  <mergeCells count="763">
    <mergeCell ref="L270:S270"/>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B28:F28"/>
    <mergeCell ref="G28:H29"/>
    <mergeCell ref="I28:I29"/>
    <mergeCell ref="L28:P28"/>
    <mergeCell ref="Q28:R29"/>
    <mergeCell ref="S28:S29"/>
    <mergeCell ref="B29:F29"/>
    <mergeCell ref="L29:P29"/>
    <mergeCell ref="B26:F26"/>
    <mergeCell ref="G26:H26"/>
    <mergeCell ref="L26:P26"/>
    <mergeCell ref="Q26:R26"/>
    <mergeCell ref="B27:F27"/>
    <mergeCell ref="G27:H27"/>
    <mergeCell ref="L27:P27"/>
    <mergeCell ref="Q27:R27"/>
    <mergeCell ref="B32:F32"/>
    <mergeCell ref="G32:I32"/>
    <mergeCell ref="L32:P32"/>
    <mergeCell ref="Q32:S32"/>
    <mergeCell ref="B33:F33"/>
    <mergeCell ref="G33:I33"/>
    <mergeCell ref="L33:P33"/>
    <mergeCell ref="Q33:S33"/>
    <mergeCell ref="B30:F30"/>
    <mergeCell ref="G30:H30"/>
    <mergeCell ref="L30:P30"/>
    <mergeCell ref="Q30:R30"/>
    <mergeCell ref="B31:F31"/>
    <mergeCell ref="G31:H31"/>
    <mergeCell ref="L31:P31"/>
    <mergeCell ref="Q31:R31"/>
    <mergeCell ref="B34:F34"/>
    <mergeCell ref="G34:I34"/>
    <mergeCell ref="L34:P34"/>
    <mergeCell ref="Q34:S34"/>
    <mergeCell ref="B35:I36"/>
    <mergeCell ref="A43:A44"/>
    <mergeCell ref="B43:F44"/>
    <mergeCell ref="G43:H44"/>
    <mergeCell ref="I43:I44"/>
    <mergeCell ref="K43:K44"/>
    <mergeCell ref="L43:P44"/>
    <mergeCell ref="Q43:R44"/>
    <mergeCell ref="S43:S44"/>
    <mergeCell ref="A45:A46"/>
    <mergeCell ref="B45:F46"/>
    <mergeCell ref="G45:I46"/>
    <mergeCell ref="K45:K46"/>
    <mergeCell ref="L45:P46"/>
    <mergeCell ref="Q45:S46"/>
    <mergeCell ref="B47:F47"/>
    <mergeCell ref="G47:H49"/>
    <mergeCell ref="I47:I48"/>
    <mergeCell ref="L47:P47"/>
    <mergeCell ref="Q47:R49"/>
    <mergeCell ref="S47:S48"/>
    <mergeCell ref="B48:F48"/>
    <mergeCell ref="L48:P48"/>
    <mergeCell ref="B49:F49"/>
    <mergeCell ref="L49:P49"/>
    <mergeCell ref="B54:F54"/>
    <mergeCell ref="L54:P54"/>
    <mergeCell ref="B50:F50"/>
    <mergeCell ref="G50:H50"/>
    <mergeCell ref="L50:P50"/>
    <mergeCell ref="Q50:R50"/>
    <mergeCell ref="B51:F51"/>
    <mergeCell ref="G51:H51"/>
    <mergeCell ref="L51:P51"/>
    <mergeCell ref="Q51:R51"/>
    <mergeCell ref="B52:F52"/>
    <mergeCell ref="G52:H55"/>
    <mergeCell ref="I52:I54"/>
    <mergeCell ref="L52:P52"/>
    <mergeCell ref="B59:F59"/>
    <mergeCell ref="G59:H63"/>
    <mergeCell ref="I59:I63"/>
    <mergeCell ref="L59:P59"/>
    <mergeCell ref="Q52:R55"/>
    <mergeCell ref="B55:F55"/>
    <mergeCell ref="L55:P55"/>
    <mergeCell ref="Q59:R63"/>
    <mergeCell ref="S59:S63"/>
    <mergeCell ref="Q56:R57"/>
    <mergeCell ref="S56:S57"/>
    <mergeCell ref="B57:F57"/>
    <mergeCell ref="L57:P57"/>
    <mergeCell ref="B58:F58"/>
    <mergeCell ref="G58:H58"/>
    <mergeCell ref="L58:P58"/>
    <mergeCell ref="Q58:R58"/>
    <mergeCell ref="B56:F56"/>
    <mergeCell ref="G56:H57"/>
    <mergeCell ref="I56:I57"/>
    <mergeCell ref="L56:P56"/>
    <mergeCell ref="S52:S54"/>
    <mergeCell ref="B53:F53"/>
    <mergeCell ref="L53:P53"/>
    <mergeCell ref="A60:A63"/>
    <mergeCell ref="B60:F60"/>
    <mergeCell ref="K60:K63"/>
    <mergeCell ref="L60:P60"/>
    <mergeCell ref="B61:F61"/>
    <mergeCell ref="L61:P61"/>
    <mergeCell ref="B62:F62"/>
    <mergeCell ref="L62:P62"/>
    <mergeCell ref="B63:F63"/>
    <mergeCell ref="L63:P63"/>
    <mergeCell ref="B66:F66"/>
    <mergeCell ref="G66:H67"/>
    <mergeCell ref="I66:I67"/>
    <mergeCell ref="L66:P66"/>
    <mergeCell ref="Q66:R67"/>
    <mergeCell ref="S66:S67"/>
    <mergeCell ref="B67:F67"/>
    <mergeCell ref="L67:P67"/>
    <mergeCell ref="B64:F64"/>
    <mergeCell ref="G64:H64"/>
    <mergeCell ref="L64:P64"/>
    <mergeCell ref="Q64:R64"/>
    <mergeCell ref="B65:F65"/>
    <mergeCell ref="G65:H65"/>
    <mergeCell ref="L65:P65"/>
    <mergeCell ref="Q65:R65"/>
    <mergeCell ref="B70:F70"/>
    <mergeCell ref="G70:I70"/>
    <mergeCell ref="L70:P70"/>
    <mergeCell ref="Q70:S70"/>
    <mergeCell ref="B71:F71"/>
    <mergeCell ref="G71:I71"/>
    <mergeCell ref="L71:P71"/>
    <mergeCell ref="Q71:S71"/>
    <mergeCell ref="B68:F68"/>
    <mergeCell ref="G68:H68"/>
    <mergeCell ref="L68:P68"/>
    <mergeCell ref="Q68:R68"/>
    <mergeCell ref="B69:F69"/>
    <mergeCell ref="G69:H69"/>
    <mergeCell ref="L69:P69"/>
    <mergeCell ref="Q69:R69"/>
    <mergeCell ref="B72:F72"/>
    <mergeCell ref="G72:I72"/>
    <mergeCell ref="L72:P72"/>
    <mergeCell ref="Q72:S72"/>
    <mergeCell ref="L73:S73"/>
    <mergeCell ref="A83:A84"/>
    <mergeCell ref="B83:F84"/>
    <mergeCell ref="G83:H84"/>
    <mergeCell ref="I83:I84"/>
    <mergeCell ref="K83:K84"/>
    <mergeCell ref="L83:P84"/>
    <mergeCell ref="Q83:R84"/>
    <mergeCell ref="S83:S84"/>
    <mergeCell ref="A85:A86"/>
    <mergeCell ref="B85:F86"/>
    <mergeCell ref="G85:I86"/>
    <mergeCell ref="K85:K86"/>
    <mergeCell ref="L85:P86"/>
    <mergeCell ref="Q85:S86"/>
    <mergeCell ref="B87:F87"/>
    <mergeCell ref="G87:H89"/>
    <mergeCell ref="I87:I88"/>
    <mergeCell ref="L87:P87"/>
    <mergeCell ref="Q87:R89"/>
    <mergeCell ref="S87:S88"/>
    <mergeCell ref="B88:F88"/>
    <mergeCell ref="L88:P88"/>
    <mergeCell ref="B89:F89"/>
    <mergeCell ref="L89:P89"/>
    <mergeCell ref="B94:F94"/>
    <mergeCell ref="L94:P94"/>
    <mergeCell ref="B90:F90"/>
    <mergeCell ref="G90:H90"/>
    <mergeCell ref="L90:P90"/>
    <mergeCell ref="Q90:R90"/>
    <mergeCell ref="B91:F91"/>
    <mergeCell ref="G91:H91"/>
    <mergeCell ref="L91:P91"/>
    <mergeCell ref="Q91:R91"/>
    <mergeCell ref="B92:F92"/>
    <mergeCell ref="G92:H95"/>
    <mergeCell ref="I92:I94"/>
    <mergeCell ref="L92:P92"/>
    <mergeCell ref="B99:F99"/>
    <mergeCell ref="G99:H103"/>
    <mergeCell ref="I99:I103"/>
    <mergeCell ref="L99:P99"/>
    <mergeCell ref="Q92:R95"/>
    <mergeCell ref="B95:F95"/>
    <mergeCell ref="L95:P95"/>
    <mergeCell ref="Q99:R103"/>
    <mergeCell ref="S99:S103"/>
    <mergeCell ref="Q96:R97"/>
    <mergeCell ref="S96:S97"/>
    <mergeCell ref="B97:F97"/>
    <mergeCell ref="L97:P97"/>
    <mergeCell ref="B98:F98"/>
    <mergeCell ref="G98:H98"/>
    <mergeCell ref="L98:P98"/>
    <mergeCell ref="Q98:R98"/>
    <mergeCell ref="B96:F96"/>
    <mergeCell ref="G96:H97"/>
    <mergeCell ref="I96:I97"/>
    <mergeCell ref="L96:P96"/>
    <mergeCell ref="S92:S94"/>
    <mergeCell ref="B93:F93"/>
    <mergeCell ref="L93:P93"/>
    <mergeCell ref="A100:A103"/>
    <mergeCell ref="B100:F100"/>
    <mergeCell ref="K100:K103"/>
    <mergeCell ref="L100:P100"/>
    <mergeCell ref="B101:F101"/>
    <mergeCell ref="L101:P101"/>
    <mergeCell ref="B102:F102"/>
    <mergeCell ref="L102:P102"/>
    <mergeCell ref="B103:F103"/>
    <mergeCell ref="L103:P103"/>
    <mergeCell ref="B106:F106"/>
    <mergeCell ref="G106:H107"/>
    <mergeCell ref="I106:I107"/>
    <mergeCell ref="L106:P106"/>
    <mergeCell ref="Q106:R107"/>
    <mergeCell ref="S106:S107"/>
    <mergeCell ref="B107:F107"/>
    <mergeCell ref="L107:P107"/>
    <mergeCell ref="B104:F104"/>
    <mergeCell ref="G104:H104"/>
    <mergeCell ref="L104:P104"/>
    <mergeCell ref="Q104:R104"/>
    <mergeCell ref="B105:F105"/>
    <mergeCell ref="G105:H105"/>
    <mergeCell ref="L105:P105"/>
    <mergeCell ref="Q105:R105"/>
    <mergeCell ref="B110:F110"/>
    <mergeCell ref="G110:I110"/>
    <mergeCell ref="L110:P110"/>
    <mergeCell ref="Q110:S110"/>
    <mergeCell ref="B111:F111"/>
    <mergeCell ref="G111:I111"/>
    <mergeCell ref="L111:P111"/>
    <mergeCell ref="Q111:S111"/>
    <mergeCell ref="B108:F108"/>
    <mergeCell ref="G108:H108"/>
    <mergeCell ref="L108:P108"/>
    <mergeCell ref="Q108:R108"/>
    <mergeCell ref="B109:F109"/>
    <mergeCell ref="G109:H109"/>
    <mergeCell ref="L109:P109"/>
    <mergeCell ref="Q109:R109"/>
    <mergeCell ref="Q122:R123"/>
    <mergeCell ref="S122:S123"/>
    <mergeCell ref="A124:A125"/>
    <mergeCell ref="B124:F125"/>
    <mergeCell ref="G124:I125"/>
    <mergeCell ref="K124:K125"/>
    <mergeCell ref="L124:P125"/>
    <mergeCell ref="Q124:S125"/>
    <mergeCell ref="B112:F112"/>
    <mergeCell ref="G112:I112"/>
    <mergeCell ref="L112:P112"/>
    <mergeCell ref="Q112:S112"/>
    <mergeCell ref="A122:A123"/>
    <mergeCell ref="B122:F123"/>
    <mergeCell ref="G122:H123"/>
    <mergeCell ref="I122:I123"/>
    <mergeCell ref="K122:K123"/>
    <mergeCell ref="L122:P123"/>
    <mergeCell ref="L113:S113"/>
    <mergeCell ref="B126:F126"/>
    <mergeCell ref="G126:H128"/>
    <mergeCell ref="I126:I127"/>
    <mergeCell ref="L126:P126"/>
    <mergeCell ref="Q126:R128"/>
    <mergeCell ref="S126:S127"/>
    <mergeCell ref="B127:F127"/>
    <mergeCell ref="L127:P127"/>
    <mergeCell ref="B128:F128"/>
    <mergeCell ref="L128:P128"/>
    <mergeCell ref="B133:F133"/>
    <mergeCell ref="L133:P133"/>
    <mergeCell ref="B129:F129"/>
    <mergeCell ref="G129:H129"/>
    <mergeCell ref="L129:P129"/>
    <mergeCell ref="Q129:R129"/>
    <mergeCell ref="B130:F130"/>
    <mergeCell ref="G130:H130"/>
    <mergeCell ref="L130:P130"/>
    <mergeCell ref="Q130:R130"/>
    <mergeCell ref="B131:F131"/>
    <mergeCell ref="G131:H134"/>
    <mergeCell ref="I131:I133"/>
    <mergeCell ref="L131:P131"/>
    <mergeCell ref="B138:F138"/>
    <mergeCell ref="G138:H142"/>
    <mergeCell ref="I138:I142"/>
    <mergeCell ref="L138:P138"/>
    <mergeCell ref="Q131:R134"/>
    <mergeCell ref="B134:F134"/>
    <mergeCell ref="L134:P134"/>
    <mergeCell ref="Q138:R142"/>
    <mergeCell ref="S138:S142"/>
    <mergeCell ref="Q135:R136"/>
    <mergeCell ref="S135:S136"/>
    <mergeCell ref="B136:F136"/>
    <mergeCell ref="L136:P136"/>
    <mergeCell ref="B137:F137"/>
    <mergeCell ref="G137:H137"/>
    <mergeCell ref="L137:P137"/>
    <mergeCell ref="Q137:R137"/>
    <mergeCell ref="B135:F135"/>
    <mergeCell ref="G135:H136"/>
    <mergeCell ref="I135:I136"/>
    <mergeCell ref="L135:P135"/>
    <mergeCell ref="S131:S133"/>
    <mergeCell ref="B132:F132"/>
    <mergeCell ref="L132:P132"/>
    <mergeCell ref="A139:A142"/>
    <mergeCell ref="B139:F139"/>
    <mergeCell ref="K139:K142"/>
    <mergeCell ref="L139:P139"/>
    <mergeCell ref="B140:F140"/>
    <mergeCell ref="L140:P140"/>
    <mergeCell ref="B141:F141"/>
    <mergeCell ref="L141:P141"/>
    <mergeCell ref="B142:F142"/>
    <mergeCell ref="L142:P142"/>
    <mergeCell ref="B145:F145"/>
    <mergeCell ref="G145:H146"/>
    <mergeCell ref="I145:I146"/>
    <mergeCell ref="L145:P145"/>
    <mergeCell ref="Q145:R146"/>
    <mergeCell ref="S145:S146"/>
    <mergeCell ref="B146:F146"/>
    <mergeCell ref="L146:P146"/>
    <mergeCell ref="B143:F143"/>
    <mergeCell ref="G143:H143"/>
    <mergeCell ref="L143:P143"/>
    <mergeCell ref="Q143:R143"/>
    <mergeCell ref="B144:F144"/>
    <mergeCell ref="G144:H144"/>
    <mergeCell ref="L144:P144"/>
    <mergeCell ref="Q144:R144"/>
    <mergeCell ref="B149:F149"/>
    <mergeCell ref="G149:I149"/>
    <mergeCell ref="L149:P149"/>
    <mergeCell ref="Q149:S149"/>
    <mergeCell ref="B150:F150"/>
    <mergeCell ref="G150:I150"/>
    <mergeCell ref="L150:P150"/>
    <mergeCell ref="Q150:S150"/>
    <mergeCell ref="B147:F147"/>
    <mergeCell ref="G147:H147"/>
    <mergeCell ref="L147:P147"/>
    <mergeCell ref="Q147:R147"/>
    <mergeCell ref="B148:F148"/>
    <mergeCell ref="G148:H148"/>
    <mergeCell ref="L148:P148"/>
    <mergeCell ref="Q148:R148"/>
    <mergeCell ref="B151:F151"/>
    <mergeCell ref="G151:I151"/>
    <mergeCell ref="L151:P151"/>
    <mergeCell ref="Q151:S151"/>
    <mergeCell ref="B152:I152"/>
    <mergeCell ref="A160:A161"/>
    <mergeCell ref="B160:F161"/>
    <mergeCell ref="G160:H161"/>
    <mergeCell ref="I160:I161"/>
    <mergeCell ref="K160:K161"/>
    <mergeCell ref="L160:P161"/>
    <mergeCell ref="Q160:R161"/>
    <mergeCell ref="S160:S161"/>
    <mergeCell ref="A162:A163"/>
    <mergeCell ref="B162:F163"/>
    <mergeCell ref="G162:I163"/>
    <mergeCell ref="K162:K163"/>
    <mergeCell ref="L162:P163"/>
    <mergeCell ref="Q162:S163"/>
    <mergeCell ref="B164:F164"/>
    <mergeCell ref="G164:H166"/>
    <mergeCell ref="I164:I165"/>
    <mergeCell ref="L164:P164"/>
    <mergeCell ref="Q164:R166"/>
    <mergeCell ref="S164:S165"/>
    <mergeCell ref="B165:F165"/>
    <mergeCell ref="L165:P165"/>
    <mergeCell ref="B166:F166"/>
    <mergeCell ref="L166:P166"/>
    <mergeCell ref="B171:F171"/>
    <mergeCell ref="L171:P171"/>
    <mergeCell ref="B167:F167"/>
    <mergeCell ref="G167:H167"/>
    <mergeCell ref="L167:P167"/>
    <mergeCell ref="Q167:R167"/>
    <mergeCell ref="B168:F168"/>
    <mergeCell ref="G168:H168"/>
    <mergeCell ref="L168:P168"/>
    <mergeCell ref="Q168:R168"/>
    <mergeCell ref="B169:F169"/>
    <mergeCell ref="G169:H172"/>
    <mergeCell ref="I169:I171"/>
    <mergeCell ref="L169:P169"/>
    <mergeCell ref="B176:F176"/>
    <mergeCell ref="G176:H180"/>
    <mergeCell ref="I176:I180"/>
    <mergeCell ref="L176:P176"/>
    <mergeCell ref="Q169:R172"/>
    <mergeCell ref="B172:F172"/>
    <mergeCell ref="L172:P172"/>
    <mergeCell ref="Q176:R180"/>
    <mergeCell ref="S176:S180"/>
    <mergeCell ref="Q173:R174"/>
    <mergeCell ref="S173:S174"/>
    <mergeCell ref="B174:F174"/>
    <mergeCell ref="L174:P174"/>
    <mergeCell ref="B175:F175"/>
    <mergeCell ref="G175:H175"/>
    <mergeCell ref="L175:P175"/>
    <mergeCell ref="Q175:R175"/>
    <mergeCell ref="B173:F173"/>
    <mergeCell ref="G173:H174"/>
    <mergeCell ref="I173:I174"/>
    <mergeCell ref="L173:P173"/>
    <mergeCell ref="S169:S171"/>
    <mergeCell ref="B170:F170"/>
    <mergeCell ref="L170:P170"/>
    <mergeCell ref="A177:A180"/>
    <mergeCell ref="B177:F177"/>
    <mergeCell ref="K177:K180"/>
    <mergeCell ref="L177:P177"/>
    <mergeCell ref="B178:F178"/>
    <mergeCell ref="L178:P178"/>
    <mergeCell ref="B179:F179"/>
    <mergeCell ref="L179:P179"/>
    <mergeCell ref="B180:F180"/>
    <mergeCell ref="L180:P180"/>
    <mergeCell ref="B183:F183"/>
    <mergeCell ref="G183:H184"/>
    <mergeCell ref="I183:I184"/>
    <mergeCell ref="L183:P183"/>
    <mergeCell ref="Q183:R184"/>
    <mergeCell ref="S183:S184"/>
    <mergeCell ref="B184:F184"/>
    <mergeCell ref="L184:P184"/>
    <mergeCell ref="B181:F181"/>
    <mergeCell ref="G181:H181"/>
    <mergeCell ref="L181:P181"/>
    <mergeCell ref="Q181:R181"/>
    <mergeCell ref="B182:F182"/>
    <mergeCell ref="G182:H182"/>
    <mergeCell ref="L182:P182"/>
    <mergeCell ref="Q182:R182"/>
    <mergeCell ref="B187:F187"/>
    <mergeCell ref="G187:I187"/>
    <mergeCell ref="L187:P187"/>
    <mergeCell ref="Q187:S187"/>
    <mergeCell ref="B188:F188"/>
    <mergeCell ref="G188:I188"/>
    <mergeCell ref="L188:P188"/>
    <mergeCell ref="Q188:S188"/>
    <mergeCell ref="B185:F185"/>
    <mergeCell ref="G185:H185"/>
    <mergeCell ref="L185:P185"/>
    <mergeCell ref="Q185:R185"/>
    <mergeCell ref="B186:F186"/>
    <mergeCell ref="G186:H186"/>
    <mergeCell ref="L186:P186"/>
    <mergeCell ref="Q186:R186"/>
    <mergeCell ref="B189:F189"/>
    <mergeCell ref="G189:I189"/>
    <mergeCell ref="L189:P189"/>
    <mergeCell ref="Q189:S189"/>
    <mergeCell ref="B190:I191"/>
    <mergeCell ref="A200:A201"/>
    <mergeCell ref="B200:F201"/>
    <mergeCell ref="G200:H201"/>
    <mergeCell ref="I200:I201"/>
    <mergeCell ref="K200:K201"/>
    <mergeCell ref="L200:P201"/>
    <mergeCell ref="Q200:R201"/>
    <mergeCell ref="S200:S201"/>
    <mergeCell ref="A202:A203"/>
    <mergeCell ref="B202:F203"/>
    <mergeCell ref="G202:I203"/>
    <mergeCell ref="K202:K203"/>
    <mergeCell ref="L202:P203"/>
    <mergeCell ref="Q202:S203"/>
    <mergeCell ref="B204:F204"/>
    <mergeCell ref="G204:H206"/>
    <mergeCell ref="I204:I205"/>
    <mergeCell ref="L204:P204"/>
    <mergeCell ref="Q204:R206"/>
    <mergeCell ref="S204:S205"/>
    <mergeCell ref="B205:F205"/>
    <mergeCell ref="L205:P205"/>
    <mergeCell ref="B206:F206"/>
    <mergeCell ref="L206:P206"/>
    <mergeCell ref="B211:F211"/>
    <mergeCell ref="L211:P211"/>
    <mergeCell ref="B207:F207"/>
    <mergeCell ref="G207:H207"/>
    <mergeCell ref="L207:P207"/>
    <mergeCell ref="Q207:R207"/>
    <mergeCell ref="B208:F208"/>
    <mergeCell ref="G208:H208"/>
    <mergeCell ref="L208:P208"/>
    <mergeCell ref="Q208:R208"/>
    <mergeCell ref="B209:F209"/>
    <mergeCell ref="G209:H212"/>
    <mergeCell ref="I209:I211"/>
    <mergeCell ref="L209:P209"/>
    <mergeCell ref="B216:F216"/>
    <mergeCell ref="G216:H220"/>
    <mergeCell ref="I216:I220"/>
    <mergeCell ref="L216:P216"/>
    <mergeCell ref="Q209:R212"/>
    <mergeCell ref="B212:F212"/>
    <mergeCell ref="L212:P212"/>
    <mergeCell ref="Q216:R220"/>
    <mergeCell ref="S216:S220"/>
    <mergeCell ref="Q213:R214"/>
    <mergeCell ref="S213:S214"/>
    <mergeCell ref="B214:F214"/>
    <mergeCell ref="L214:P214"/>
    <mergeCell ref="B215:F215"/>
    <mergeCell ref="G215:H215"/>
    <mergeCell ref="L215:P215"/>
    <mergeCell ref="Q215:R215"/>
    <mergeCell ref="B213:F213"/>
    <mergeCell ref="G213:H214"/>
    <mergeCell ref="I213:I214"/>
    <mergeCell ref="L213:P213"/>
    <mergeCell ref="S209:S211"/>
    <mergeCell ref="B210:F210"/>
    <mergeCell ref="L210:P210"/>
    <mergeCell ref="A217:A220"/>
    <mergeCell ref="B217:F217"/>
    <mergeCell ref="K217:K220"/>
    <mergeCell ref="L217:P217"/>
    <mergeCell ref="B218:F218"/>
    <mergeCell ref="L218:P218"/>
    <mergeCell ref="B219:F219"/>
    <mergeCell ref="L219:P219"/>
    <mergeCell ref="B220:F220"/>
    <mergeCell ref="L220:P220"/>
    <mergeCell ref="B223:F223"/>
    <mergeCell ref="G223:H224"/>
    <mergeCell ref="I223:I224"/>
    <mergeCell ref="L223:P223"/>
    <mergeCell ref="Q223:R224"/>
    <mergeCell ref="S223:S224"/>
    <mergeCell ref="B224:F224"/>
    <mergeCell ref="L224:P224"/>
    <mergeCell ref="B221:F221"/>
    <mergeCell ref="G221:H221"/>
    <mergeCell ref="L221:P221"/>
    <mergeCell ref="Q221:R221"/>
    <mergeCell ref="B222:F222"/>
    <mergeCell ref="G222:H222"/>
    <mergeCell ref="L222:P222"/>
    <mergeCell ref="Q222:R222"/>
    <mergeCell ref="B227:F227"/>
    <mergeCell ref="G227:I227"/>
    <mergeCell ref="L227:P227"/>
    <mergeCell ref="Q227:S227"/>
    <mergeCell ref="B228:F228"/>
    <mergeCell ref="G228:I228"/>
    <mergeCell ref="L228:P228"/>
    <mergeCell ref="Q228:S228"/>
    <mergeCell ref="B225:F225"/>
    <mergeCell ref="G225:H225"/>
    <mergeCell ref="L225:P225"/>
    <mergeCell ref="Q225:R225"/>
    <mergeCell ref="B226:F226"/>
    <mergeCell ref="G226:H226"/>
    <mergeCell ref="L226:P226"/>
    <mergeCell ref="Q226:R226"/>
    <mergeCell ref="Q240:R241"/>
    <mergeCell ref="S240:S241"/>
    <mergeCell ref="A242:A243"/>
    <mergeCell ref="B242:F243"/>
    <mergeCell ref="G242:I243"/>
    <mergeCell ref="K242:K243"/>
    <mergeCell ref="L242:P243"/>
    <mergeCell ref="Q242:S243"/>
    <mergeCell ref="B229:F229"/>
    <mergeCell ref="G229:I229"/>
    <mergeCell ref="L229:P229"/>
    <mergeCell ref="Q229:S229"/>
    <mergeCell ref="A240:A241"/>
    <mergeCell ref="B240:F241"/>
    <mergeCell ref="G240:H241"/>
    <mergeCell ref="I240:I241"/>
    <mergeCell ref="K240:K241"/>
    <mergeCell ref="L240:P241"/>
    <mergeCell ref="L230:S230"/>
    <mergeCell ref="B244:F244"/>
    <mergeCell ref="G244:H246"/>
    <mergeCell ref="I244:I245"/>
    <mergeCell ref="L244:P244"/>
    <mergeCell ref="Q244:R246"/>
    <mergeCell ref="S244:S245"/>
    <mergeCell ref="B245:F245"/>
    <mergeCell ref="L245:P245"/>
    <mergeCell ref="B246:F246"/>
    <mergeCell ref="L246:P246"/>
    <mergeCell ref="B251:F251"/>
    <mergeCell ref="L251:P251"/>
    <mergeCell ref="B247:F247"/>
    <mergeCell ref="G247:H247"/>
    <mergeCell ref="L247:P247"/>
    <mergeCell ref="Q247:R247"/>
    <mergeCell ref="B248:F248"/>
    <mergeCell ref="G248:H248"/>
    <mergeCell ref="L248:P248"/>
    <mergeCell ref="Q248:R248"/>
    <mergeCell ref="B249:F249"/>
    <mergeCell ref="G249:H252"/>
    <mergeCell ref="I249:I251"/>
    <mergeCell ref="L249:P249"/>
    <mergeCell ref="B256:F256"/>
    <mergeCell ref="G256:H260"/>
    <mergeCell ref="I256:I260"/>
    <mergeCell ref="L256:P256"/>
    <mergeCell ref="Q249:R252"/>
    <mergeCell ref="B252:F252"/>
    <mergeCell ref="L252:P252"/>
    <mergeCell ref="Q256:R260"/>
    <mergeCell ref="S256:S260"/>
    <mergeCell ref="Q253:R254"/>
    <mergeCell ref="S253:S254"/>
    <mergeCell ref="B254:F254"/>
    <mergeCell ref="L254:P254"/>
    <mergeCell ref="B255:F255"/>
    <mergeCell ref="G255:H255"/>
    <mergeCell ref="L255:P255"/>
    <mergeCell ref="Q255:R255"/>
    <mergeCell ref="B253:F253"/>
    <mergeCell ref="G253:H254"/>
    <mergeCell ref="I253:I254"/>
    <mergeCell ref="L253:P253"/>
    <mergeCell ref="S249:S251"/>
    <mergeCell ref="B250:F250"/>
    <mergeCell ref="L250:P250"/>
    <mergeCell ref="A257:A260"/>
    <mergeCell ref="B257:F257"/>
    <mergeCell ref="K257:K260"/>
    <mergeCell ref="L257:P257"/>
    <mergeCell ref="B258:F258"/>
    <mergeCell ref="L258:P258"/>
    <mergeCell ref="B259:F259"/>
    <mergeCell ref="L259:P259"/>
    <mergeCell ref="B260:F260"/>
    <mergeCell ref="L260:P260"/>
    <mergeCell ref="S263:S264"/>
    <mergeCell ref="B264:F264"/>
    <mergeCell ref="L264:P264"/>
    <mergeCell ref="B261:F261"/>
    <mergeCell ref="G261:H261"/>
    <mergeCell ref="L261:P261"/>
    <mergeCell ref="Q261:R261"/>
    <mergeCell ref="B262:F262"/>
    <mergeCell ref="G262:H262"/>
    <mergeCell ref="L262:P262"/>
    <mergeCell ref="Q262:R262"/>
    <mergeCell ref="B265:F265"/>
    <mergeCell ref="G265:H265"/>
    <mergeCell ref="L265:P265"/>
    <mergeCell ref="Q265:R265"/>
    <mergeCell ref="B266:F266"/>
    <mergeCell ref="G266:H266"/>
    <mergeCell ref="L266:P266"/>
    <mergeCell ref="Q266:R266"/>
    <mergeCell ref="B263:F263"/>
    <mergeCell ref="G263:H264"/>
    <mergeCell ref="I263:I264"/>
    <mergeCell ref="L263:P263"/>
    <mergeCell ref="Q263:R264"/>
    <mergeCell ref="B269:F269"/>
    <mergeCell ref="G269:I269"/>
    <mergeCell ref="L269:P269"/>
    <mergeCell ref="Q269:S269"/>
    <mergeCell ref="B267:F267"/>
    <mergeCell ref="G267:I267"/>
    <mergeCell ref="L267:P267"/>
    <mergeCell ref="Q267:S267"/>
    <mergeCell ref="B268:F268"/>
    <mergeCell ref="G268:I268"/>
    <mergeCell ref="L268:P268"/>
    <mergeCell ref="Q268:S26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S272"/>
  <sheetViews>
    <sheetView topLeftCell="A265" zoomScale="70" zoomScaleNormal="70" workbookViewId="0">
      <selection activeCell="Q252" sqref="Q252:R253"/>
    </sheetView>
  </sheetViews>
  <sheetFormatPr defaultColWidth="9.140625" defaultRowHeight="15" x14ac:dyDescent="0.25"/>
  <cols>
    <col min="1" max="1" width="3.42578125" customWidth="1"/>
    <col min="7" max="7" width="10" customWidth="1"/>
    <col min="9" max="9" width="54.7109375" customWidth="1"/>
    <col min="10" max="10" width="0.42578125" customWidth="1"/>
    <col min="11" max="11" width="4.42578125" customWidth="1"/>
    <col min="17" max="17" width="10.28515625" customWidth="1"/>
    <col min="19" max="19" width="45.85546875" customWidth="1"/>
    <col min="257" max="257" width="3.42578125" customWidth="1"/>
    <col min="263" max="263" width="10" customWidth="1"/>
    <col min="265" max="265" width="54.7109375" customWidth="1"/>
    <col min="266" max="266" width="0.42578125" customWidth="1"/>
    <col min="267" max="267" width="4.42578125" customWidth="1"/>
    <col min="273" max="273" width="10.28515625" customWidth="1"/>
    <col min="275" max="275" width="45.85546875" customWidth="1"/>
    <col min="513" max="513" width="3.42578125" customWidth="1"/>
    <col min="519" max="519" width="10" customWidth="1"/>
    <col min="521" max="521" width="54.7109375" customWidth="1"/>
    <col min="522" max="522" width="0.42578125" customWidth="1"/>
    <col min="523" max="523" width="4.42578125" customWidth="1"/>
    <col min="529" max="529" width="10.28515625" customWidth="1"/>
    <col min="531" max="531" width="45.85546875" customWidth="1"/>
    <col min="769" max="769" width="3.42578125" customWidth="1"/>
    <col min="775" max="775" width="10" customWidth="1"/>
    <col min="777" max="777" width="54.7109375" customWidth="1"/>
    <col min="778" max="778" width="0.42578125" customWidth="1"/>
    <col min="779" max="779" width="4.42578125" customWidth="1"/>
    <col min="785" max="785" width="10.28515625" customWidth="1"/>
    <col min="787" max="787" width="45.85546875" customWidth="1"/>
    <col min="1025" max="1025" width="3.42578125" customWidth="1"/>
    <col min="1031" max="1031" width="10" customWidth="1"/>
    <col min="1033" max="1033" width="54.7109375" customWidth="1"/>
    <col min="1034" max="1034" width="0.42578125" customWidth="1"/>
    <col min="1035" max="1035" width="4.42578125" customWidth="1"/>
    <col min="1041" max="1041" width="10.28515625" customWidth="1"/>
    <col min="1043" max="1043" width="45.85546875" customWidth="1"/>
    <col min="1281" max="1281" width="3.42578125" customWidth="1"/>
    <col min="1287" max="1287" width="10" customWidth="1"/>
    <col min="1289" max="1289" width="54.7109375" customWidth="1"/>
    <col min="1290" max="1290" width="0.42578125" customWidth="1"/>
    <col min="1291" max="1291" width="4.42578125" customWidth="1"/>
    <col min="1297" max="1297" width="10.28515625" customWidth="1"/>
    <col min="1299" max="1299" width="45.85546875" customWidth="1"/>
    <col min="1537" max="1537" width="3.42578125" customWidth="1"/>
    <col min="1543" max="1543" width="10" customWidth="1"/>
    <col min="1545" max="1545" width="54.7109375" customWidth="1"/>
    <col min="1546" max="1546" width="0.42578125" customWidth="1"/>
    <col min="1547" max="1547" width="4.42578125" customWidth="1"/>
    <col min="1553" max="1553" width="10.28515625" customWidth="1"/>
    <col min="1555" max="1555" width="45.85546875" customWidth="1"/>
    <col min="1793" max="1793" width="3.42578125" customWidth="1"/>
    <col min="1799" max="1799" width="10" customWidth="1"/>
    <col min="1801" max="1801" width="54.7109375" customWidth="1"/>
    <col min="1802" max="1802" width="0.42578125" customWidth="1"/>
    <col min="1803" max="1803" width="4.42578125" customWidth="1"/>
    <col min="1809" max="1809" width="10.28515625" customWidth="1"/>
    <col min="1811" max="1811" width="45.85546875" customWidth="1"/>
    <col min="2049" max="2049" width="3.42578125" customWidth="1"/>
    <col min="2055" max="2055" width="10" customWidth="1"/>
    <col min="2057" max="2057" width="54.7109375" customWidth="1"/>
    <col min="2058" max="2058" width="0.42578125" customWidth="1"/>
    <col min="2059" max="2059" width="4.42578125" customWidth="1"/>
    <col min="2065" max="2065" width="10.28515625" customWidth="1"/>
    <col min="2067" max="2067" width="45.85546875" customWidth="1"/>
    <col min="2305" max="2305" width="3.42578125" customWidth="1"/>
    <col min="2311" max="2311" width="10" customWidth="1"/>
    <col min="2313" max="2313" width="54.7109375" customWidth="1"/>
    <col min="2314" max="2314" width="0.42578125" customWidth="1"/>
    <col min="2315" max="2315" width="4.42578125" customWidth="1"/>
    <col min="2321" max="2321" width="10.28515625" customWidth="1"/>
    <col min="2323" max="2323" width="45.85546875" customWidth="1"/>
    <col min="2561" max="2561" width="3.42578125" customWidth="1"/>
    <col min="2567" max="2567" width="10" customWidth="1"/>
    <col min="2569" max="2569" width="54.7109375" customWidth="1"/>
    <col min="2570" max="2570" width="0.42578125" customWidth="1"/>
    <col min="2571" max="2571" width="4.42578125" customWidth="1"/>
    <col min="2577" max="2577" width="10.28515625" customWidth="1"/>
    <col min="2579" max="2579" width="45.85546875" customWidth="1"/>
    <col min="2817" max="2817" width="3.42578125" customWidth="1"/>
    <col min="2823" max="2823" width="10" customWidth="1"/>
    <col min="2825" max="2825" width="54.7109375" customWidth="1"/>
    <col min="2826" max="2826" width="0.42578125" customWidth="1"/>
    <col min="2827" max="2827" width="4.42578125" customWidth="1"/>
    <col min="2833" max="2833" width="10.28515625" customWidth="1"/>
    <col min="2835" max="2835" width="45.85546875" customWidth="1"/>
    <col min="3073" max="3073" width="3.42578125" customWidth="1"/>
    <col min="3079" max="3079" width="10" customWidth="1"/>
    <col min="3081" max="3081" width="54.7109375" customWidth="1"/>
    <col min="3082" max="3082" width="0.42578125" customWidth="1"/>
    <col min="3083" max="3083" width="4.42578125" customWidth="1"/>
    <col min="3089" max="3089" width="10.28515625" customWidth="1"/>
    <col min="3091" max="3091" width="45.85546875" customWidth="1"/>
    <col min="3329" max="3329" width="3.42578125" customWidth="1"/>
    <col min="3335" max="3335" width="10" customWidth="1"/>
    <col min="3337" max="3337" width="54.7109375" customWidth="1"/>
    <col min="3338" max="3338" width="0.42578125" customWidth="1"/>
    <col min="3339" max="3339" width="4.42578125" customWidth="1"/>
    <col min="3345" max="3345" width="10.28515625" customWidth="1"/>
    <col min="3347" max="3347" width="45.85546875" customWidth="1"/>
    <col min="3585" max="3585" width="3.42578125" customWidth="1"/>
    <col min="3591" max="3591" width="10" customWidth="1"/>
    <col min="3593" max="3593" width="54.7109375" customWidth="1"/>
    <col min="3594" max="3594" width="0.42578125" customWidth="1"/>
    <col min="3595" max="3595" width="4.42578125" customWidth="1"/>
    <col min="3601" max="3601" width="10.28515625" customWidth="1"/>
    <col min="3603" max="3603" width="45.85546875" customWidth="1"/>
    <col min="3841" max="3841" width="3.42578125" customWidth="1"/>
    <col min="3847" max="3847" width="10" customWidth="1"/>
    <col min="3849" max="3849" width="54.7109375" customWidth="1"/>
    <col min="3850" max="3850" width="0.42578125" customWidth="1"/>
    <col min="3851" max="3851" width="4.42578125" customWidth="1"/>
    <col min="3857" max="3857" width="10.28515625" customWidth="1"/>
    <col min="3859" max="3859" width="45.85546875" customWidth="1"/>
    <col min="4097" max="4097" width="3.42578125" customWidth="1"/>
    <col min="4103" max="4103" width="10" customWidth="1"/>
    <col min="4105" max="4105" width="54.7109375" customWidth="1"/>
    <col min="4106" max="4106" width="0.42578125" customWidth="1"/>
    <col min="4107" max="4107" width="4.42578125" customWidth="1"/>
    <col min="4113" max="4113" width="10.28515625" customWidth="1"/>
    <col min="4115" max="4115" width="45.85546875" customWidth="1"/>
    <col min="4353" max="4353" width="3.42578125" customWidth="1"/>
    <col min="4359" max="4359" width="10" customWidth="1"/>
    <col min="4361" max="4361" width="54.7109375" customWidth="1"/>
    <col min="4362" max="4362" width="0.42578125" customWidth="1"/>
    <col min="4363" max="4363" width="4.42578125" customWidth="1"/>
    <col min="4369" max="4369" width="10.28515625" customWidth="1"/>
    <col min="4371" max="4371" width="45.85546875" customWidth="1"/>
    <col min="4609" max="4609" width="3.42578125" customWidth="1"/>
    <col min="4615" max="4615" width="10" customWidth="1"/>
    <col min="4617" max="4617" width="54.7109375" customWidth="1"/>
    <col min="4618" max="4618" width="0.42578125" customWidth="1"/>
    <col min="4619" max="4619" width="4.42578125" customWidth="1"/>
    <col min="4625" max="4625" width="10.28515625" customWidth="1"/>
    <col min="4627" max="4627" width="45.85546875" customWidth="1"/>
    <col min="4865" max="4865" width="3.42578125" customWidth="1"/>
    <col min="4871" max="4871" width="10" customWidth="1"/>
    <col min="4873" max="4873" width="54.7109375" customWidth="1"/>
    <col min="4874" max="4874" width="0.42578125" customWidth="1"/>
    <col min="4875" max="4875" width="4.42578125" customWidth="1"/>
    <col min="4881" max="4881" width="10.28515625" customWidth="1"/>
    <col min="4883" max="4883" width="45.85546875" customWidth="1"/>
    <col min="5121" max="5121" width="3.42578125" customWidth="1"/>
    <col min="5127" max="5127" width="10" customWidth="1"/>
    <col min="5129" max="5129" width="54.7109375" customWidth="1"/>
    <col min="5130" max="5130" width="0.42578125" customWidth="1"/>
    <col min="5131" max="5131" width="4.42578125" customWidth="1"/>
    <col min="5137" max="5137" width="10.28515625" customWidth="1"/>
    <col min="5139" max="5139" width="45.85546875" customWidth="1"/>
    <col min="5377" max="5377" width="3.42578125" customWidth="1"/>
    <col min="5383" max="5383" width="10" customWidth="1"/>
    <col min="5385" max="5385" width="54.7109375" customWidth="1"/>
    <col min="5386" max="5386" width="0.42578125" customWidth="1"/>
    <col min="5387" max="5387" width="4.42578125" customWidth="1"/>
    <col min="5393" max="5393" width="10.28515625" customWidth="1"/>
    <col min="5395" max="5395" width="45.85546875" customWidth="1"/>
    <col min="5633" max="5633" width="3.42578125" customWidth="1"/>
    <col min="5639" max="5639" width="10" customWidth="1"/>
    <col min="5641" max="5641" width="54.7109375" customWidth="1"/>
    <col min="5642" max="5642" width="0.42578125" customWidth="1"/>
    <col min="5643" max="5643" width="4.42578125" customWidth="1"/>
    <col min="5649" max="5649" width="10.28515625" customWidth="1"/>
    <col min="5651" max="5651" width="45.85546875" customWidth="1"/>
    <col min="5889" max="5889" width="3.42578125" customWidth="1"/>
    <col min="5895" max="5895" width="10" customWidth="1"/>
    <col min="5897" max="5897" width="54.7109375" customWidth="1"/>
    <col min="5898" max="5898" width="0.42578125" customWidth="1"/>
    <col min="5899" max="5899" width="4.42578125" customWidth="1"/>
    <col min="5905" max="5905" width="10.28515625" customWidth="1"/>
    <col min="5907" max="5907" width="45.85546875" customWidth="1"/>
    <col min="6145" max="6145" width="3.42578125" customWidth="1"/>
    <col min="6151" max="6151" width="10" customWidth="1"/>
    <col min="6153" max="6153" width="54.7109375" customWidth="1"/>
    <col min="6154" max="6154" width="0.42578125" customWidth="1"/>
    <col min="6155" max="6155" width="4.42578125" customWidth="1"/>
    <col min="6161" max="6161" width="10.28515625" customWidth="1"/>
    <col min="6163" max="6163" width="45.85546875" customWidth="1"/>
    <col min="6401" max="6401" width="3.42578125" customWidth="1"/>
    <col min="6407" max="6407" width="10" customWidth="1"/>
    <col min="6409" max="6409" width="54.7109375" customWidth="1"/>
    <col min="6410" max="6410" width="0.42578125" customWidth="1"/>
    <col min="6411" max="6411" width="4.42578125" customWidth="1"/>
    <col min="6417" max="6417" width="10.28515625" customWidth="1"/>
    <col min="6419" max="6419" width="45.85546875" customWidth="1"/>
    <col min="6657" max="6657" width="3.42578125" customWidth="1"/>
    <col min="6663" max="6663" width="10" customWidth="1"/>
    <col min="6665" max="6665" width="54.7109375" customWidth="1"/>
    <col min="6666" max="6666" width="0.42578125" customWidth="1"/>
    <col min="6667" max="6667" width="4.42578125" customWidth="1"/>
    <col min="6673" max="6673" width="10.28515625" customWidth="1"/>
    <col min="6675" max="6675" width="45.85546875" customWidth="1"/>
    <col min="6913" max="6913" width="3.42578125" customWidth="1"/>
    <col min="6919" max="6919" width="10" customWidth="1"/>
    <col min="6921" max="6921" width="54.7109375" customWidth="1"/>
    <col min="6922" max="6922" width="0.42578125" customWidth="1"/>
    <col min="6923" max="6923" width="4.42578125" customWidth="1"/>
    <col min="6929" max="6929" width="10.28515625" customWidth="1"/>
    <col min="6931" max="6931" width="45.85546875" customWidth="1"/>
    <col min="7169" max="7169" width="3.42578125" customWidth="1"/>
    <col min="7175" max="7175" width="10" customWidth="1"/>
    <col min="7177" max="7177" width="54.7109375" customWidth="1"/>
    <col min="7178" max="7178" width="0.42578125" customWidth="1"/>
    <col min="7179" max="7179" width="4.42578125" customWidth="1"/>
    <col min="7185" max="7185" width="10.28515625" customWidth="1"/>
    <col min="7187" max="7187" width="45.85546875" customWidth="1"/>
    <col min="7425" max="7425" width="3.42578125" customWidth="1"/>
    <col min="7431" max="7431" width="10" customWidth="1"/>
    <col min="7433" max="7433" width="54.7109375" customWidth="1"/>
    <col min="7434" max="7434" width="0.42578125" customWidth="1"/>
    <col min="7435" max="7435" width="4.42578125" customWidth="1"/>
    <col min="7441" max="7441" width="10.28515625" customWidth="1"/>
    <col min="7443" max="7443" width="45.85546875" customWidth="1"/>
    <col min="7681" max="7681" width="3.42578125" customWidth="1"/>
    <col min="7687" max="7687" width="10" customWidth="1"/>
    <col min="7689" max="7689" width="54.7109375" customWidth="1"/>
    <col min="7690" max="7690" width="0.42578125" customWidth="1"/>
    <col min="7691" max="7691" width="4.42578125" customWidth="1"/>
    <col min="7697" max="7697" width="10.28515625" customWidth="1"/>
    <col min="7699" max="7699" width="45.85546875" customWidth="1"/>
    <col min="7937" max="7937" width="3.42578125" customWidth="1"/>
    <col min="7943" max="7943" width="10" customWidth="1"/>
    <col min="7945" max="7945" width="54.7109375" customWidth="1"/>
    <col min="7946" max="7946" width="0.42578125" customWidth="1"/>
    <col min="7947" max="7947" width="4.42578125" customWidth="1"/>
    <col min="7953" max="7953" width="10.28515625" customWidth="1"/>
    <col min="7955" max="7955" width="45.85546875" customWidth="1"/>
    <col min="8193" max="8193" width="3.42578125" customWidth="1"/>
    <col min="8199" max="8199" width="10" customWidth="1"/>
    <col min="8201" max="8201" width="54.7109375" customWidth="1"/>
    <col min="8202" max="8202" width="0.42578125" customWidth="1"/>
    <col min="8203" max="8203" width="4.42578125" customWidth="1"/>
    <col min="8209" max="8209" width="10.28515625" customWidth="1"/>
    <col min="8211" max="8211" width="45.85546875" customWidth="1"/>
    <col min="8449" max="8449" width="3.42578125" customWidth="1"/>
    <col min="8455" max="8455" width="10" customWidth="1"/>
    <col min="8457" max="8457" width="54.7109375" customWidth="1"/>
    <col min="8458" max="8458" width="0.42578125" customWidth="1"/>
    <col min="8459" max="8459" width="4.42578125" customWidth="1"/>
    <col min="8465" max="8465" width="10.28515625" customWidth="1"/>
    <col min="8467" max="8467" width="45.85546875" customWidth="1"/>
    <col min="8705" max="8705" width="3.42578125" customWidth="1"/>
    <col min="8711" max="8711" width="10" customWidth="1"/>
    <col min="8713" max="8713" width="54.7109375" customWidth="1"/>
    <col min="8714" max="8714" width="0.42578125" customWidth="1"/>
    <col min="8715" max="8715" width="4.42578125" customWidth="1"/>
    <col min="8721" max="8721" width="10.28515625" customWidth="1"/>
    <col min="8723" max="8723" width="45.85546875" customWidth="1"/>
    <col min="8961" max="8961" width="3.42578125" customWidth="1"/>
    <col min="8967" max="8967" width="10" customWidth="1"/>
    <col min="8969" max="8969" width="54.7109375" customWidth="1"/>
    <col min="8970" max="8970" width="0.42578125" customWidth="1"/>
    <col min="8971" max="8971" width="4.42578125" customWidth="1"/>
    <col min="8977" max="8977" width="10.28515625" customWidth="1"/>
    <col min="8979" max="8979" width="45.85546875" customWidth="1"/>
    <col min="9217" max="9217" width="3.42578125" customWidth="1"/>
    <col min="9223" max="9223" width="10" customWidth="1"/>
    <col min="9225" max="9225" width="54.7109375" customWidth="1"/>
    <col min="9226" max="9226" width="0.42578125" customWidth="1"/>
    <col min="9227" max="9227" width="4.42578125" customWidth="1"/>
    <col min="9233" max="9233" width="10.28515625" customWidth="1"/>
    <col min="9235" max="9235" width="45.85546875" customWidth="1"/>
    <col min="9473" max="9473" width="3.42578125" customWidth="1"/>
    <col min="9479" max="9479" width="10" customWidth="1"/>
    <col min="9481" max="9481" width="54.7109375" customWidth="1"/>
    <col min="9482" max="9482" width="0.42578125" customWidth="1"/>
    <col min="9483" max="9483" width="4.42578125" customWidth="1"/>
    <col min="9489" max="9489" width="10.28515625" customWidth="1"/>
    <col min="9491" max="9491" width="45.85546875" customWidth="1"/>
    <col min="9729" max="9729" width="3.42578125" customWidth="1"/>
    <col min="9735" max="9735" width="10" customWidth="1"/>
    <col min="9737" max="9737" width="54.7109375" customWidth="1"/>
    <col min="9738" max="9738" width="0.42578125" customWidth="1"/>
    <col min="9739" max="9739" width="4.42578125" customWidth="1"/>
    <col min="9745" max="9745" width="10.28515625" customWidth="1"/>
    <col min="9747" max="9747" width="45.85546875" customWidth="1"/>
    <col min="9985" max="9985" width="3.42578125" customWidth="1"/>
    <col min="9991" max="9991" width="10" customWidth="1"/>
    <col min="9993" max="9993" width="54.7109375" customWidth="1"/>
    <col min="9994" max="9994" width="0.42578125" customWidth="1"/>
    <col min="9995" max="9995" width="4.42578125" customWidth="1"/>
    <col min="10001" max="10001" width="10.28515625" customWidth="1"/>
    <col min="10003" max="10003" width="45.85546875" customWidth="1"/>
    <col min="10241" max="10241" width="3.42578125" customWidth="1"/>
    <col min="10247" max="10247" width="10" customWidth="1"/>
    <col min="10249" max="10249" width="54.7109375" customWidth="1"/>
    <col min="10250" max="10250" width="0.42578125" customWidth="1"/>
    <col min="10251" max="10251" width="4.42578125" customWidth="1"/>
    <col min="10257" max="10257" width="10.28515625" customWidth="1"/>
    <col min="10259" max="10259" width="45.85546875" customWidth="1"/>
    <col min="10497" max="10497" width="3.42578125" customWidth="1"/>
    <col min="10503" max="10503" width="10" customWidth="1"/>
    <col min="10505" max="10505" width="54.7109375" customWidth="1"/>
    <col min="10506" max="10506" width="0.42578125" customWidth="1"/>
    <col min="10507" max="10507" width="4.42578125" customWidth="1"/>
    <col min="10513" max="10513" width="10.28515625" customWidth="1"/>
    <col min="10515" max="10515" width="45.85546875" customWidth="1"/>
    <col min="10753" max="10753" width="3.42578125" customWidth="1"/>
    <col min="10759" max="10759" width="10" customWidth="1"/>
    <col min="10761" max="10761" width="54.7109375" customWidth="1"/>
    <col min="10762" max="10762" width="0.42578125" customWidth="1"/>
    <col min="10763" max="10763" width="4.42578125" customWidth="1"/>
    <col min="10769" max="10769" width="10.28515625" customWidth="1"/>
    <col min="10771" max="10771" width="45.85546875" customWidth="1"/>
    <col min="11009" max="11009" width="3.42578125" customWidth="1"/>
    <col min="11015" max="11015" width="10" customWidth="1"/>
    <col min="11017" max="11017" width="54.7109375" customWidth="1"/>
    <col min="11018" max="11018" width="0.42578125" customWidth="1"/>
    <col min="11019" max="11019" width="4.42578125" customWidth="1"/>
    <col min="11025" max="11025" width="10.28515625" customWidth="1"/>
    <col min="11027" max="11027" width="45.85546875" customWidth="1"/>
    <col min="11265" max="11265" width="3.42578125" customWidth="1"/>
    <col min="11271" max="11271" width="10" customWidth="1"/>
    <col min="11273" max="11273" width="54.7109375" customWidth="1"/>
    <col min="11274" max="11274" width="0.42578125" customWidth="1"/>
    <col min="11275" max="11275" width="4.42578125" customWidth="1"/>
    <col min="11281" max="11281" width="10.28515625" customWidth="1"/>
    <col min="11283" max="11283" width="45.85546875" customWidth="1"/>
    <col min="11521" max="11521" width="3.42578125" customWidth="1"/>
    <col min="11527" max="11527" width="10" customWidth="1"/>
    <col min="11529" max="11529" width="54.7109375" customWidth="1"/>
    <col min="11530" max="11530" width="0.42578125" customWidth="1"/>
    <col min="11531" max="11531" width="4.42578125" customWidth="1"/>
    <col min="11537" max="11537" width="10.28515625" customWidth="1"/>
    <col min="11539" max="11539" width="45.85546875" customWidth="1"/>
    <col min="11777" max="11777" width="3.42578125" customWidth="1"/>
    <col min="11783" max="11783" width="10" customWidth="1"/>
    <col min="11785" max="11785" width="54.7109375" customWidth="1"/>
    <col min="11786" max="11786" width="0.42578125" customWidth="1"/>
    <col min="11787" max="11787" width="4.42578125" customWidth="1"/>
    <col min="11793" max="11793" width="10.28515625" customWidth="1"/>
    <col min="11795" max="11795" width="45.85546875" customWidth="1"/>
    <col min="12033" max="12033" width="3.42578125" customWidth="1"/>
    <col min="12039" max="12039" width="10" customWidth="1"/>
    <col min="12041" max="12041" width="54.7109375" customWidth="1"/>
    <col min="12042" max="12042" width="0.42578125" customWidth="1"/>
    <col min="12043" max="12043" width="4.42578125" customWidth="1"/>
    <col min="12049" max="12049" width="10.28515625" customWidth="1"/>
    <col min="12051" max="12051" width="45.85546875" customWidth="1"/>
    <col min="12289" max="12289" width="3.42578125" customWidth="1"/>
    <col min="12295" max="12295" width="10" customWidth="1"/>
    <col min="12297" max="12297" width="54.7109375" customWidth="1"/>
    <col min="12298" max="12298" width="0.42578125" customWidth="1"/>
    <col min="12299" max="12299" width="4.42578125" customWidth="1"/>
    <col min="12305" max="12305" width="10.28515625" customWidth="1"/>
    <col min="12307" max="12307" width="45.85546875" customWidth="1"/>
    <col min="12545" max="12545" width="3.42578125" customWidth="1"/>
    <col min="12551" max="12551" width="10" customWidth="1"/>
    <col min="12553" max="12553" width="54.7109375" customWidth="1"/>
    <col min="12554" max="12554" width="0.42578125" customWidth="1"/>
    <col min="12555" max="12555" width="4.42578125" customWidth="1"/>
    <col min="12561" max="12561" width="10.28515625" customWidth="1"/>
    <col min="12563" max="12563" width="45.85546875" customWidth="1"/>
    <col min="12801" max="12801" width="3.42578125" customWidth="1"/>
    <col min="12807" max="12807" width="10" customWidth="1"/>
    <col min="12809" max="12809" width="54.7109375" customWidth="1"/>
    <col min="12810" max="12810" width="0.42578125" customWidth="1"/>
    <col min="12811" max="12811" width="4.42578125" customWidth="1"/>
    <col min="12817" max="12817" width="10.28515625" customWidth="1"/>
    <col min="12819" max="12819" width="45.85546875" customWidth="1"/>
    <col min="13057" max="13057" width="3.42578125" customWidth="1"/>
    <col min="13063" max="13063" width="10" customWidth="1"/>
    <col min="13065" max="13065" width="54.7109375" customWidth="1"/>
    <col min="13066" max="13066" width="0.42578125" customWidth="1"/>
    <col min="13067" max="13067" width="4.42578125" customWidth="1"/>
    <col min="13073" max="13073" width="10.28515625" customWidth="1"/>
    <col min="13075" max="13075" width="45.85546875" customWidth="1"/>
    <col min="13313" max="13313" width="3.42578125" customWidth="1"/>
    <col min="13319" max="13319" width="10" customWidth="1"/>
    <col min="13321" max="13321" width="54.7109375" customWidth="1"/>
    <col min="13322" max="13322" width="0.42578125" customWidth="1"/>
    <col min="13323" max="13323" width="4.42578125" customWidth="1"/>
    <col min="13329" max="13329" width="10.28515625" customWidth="1"/>
    <col min="13331" max="13331" width="45.85546875" customWidth="1"/>
    <col min="13569" max="13569" width="3.42578125" customWidth="1"/>
    <col min="13575" max="13575" width="10" customWidth="1"/>
    <col min="13577" max="13577" width="54.7109375" customWidth="1"/>
    <col min="13578" max="13578" width="0.42578125" customWidth="1"/>
    <col min="13579" max="13579" width="4.42578125" customWidth="1"/>
    <col min="13585" max="13585" width="10.28515625" customWidth="1"/>
    <col min="13587" max="13587" width="45.85546875" customWidth="1"/>
    <col min="13825" max="13825" width="3.42578125" customWidth="1"/>
    <col min="13831" max="13831" width="10" customWidth="1"/>
    <col min="13833" max="13833" width="54.7109375" customWidth="1"/>
    <col min="13834" max="13834" width="0.42578125" customWidth="1"/>
    <col min="13835" max="13835" width="4.42578125" customWidth="1"/>
    <col min="13841" max="13841" width="10.28515625" customWidth="1"/>
    <col min="13843" max="13843" width="45.85546875" customWidth="1"/>
    <col min="14081" max="14081" width="3.42578125" customWidth="1"/>
    <col min="14087" max="14087" width="10" customWidth="1"/>
    <col min="14089" max="14089" width="54.7109375" customWidth="1"/>
    <col min="14090" max="14090" width="0.42578125" customWidth="1"/>
    <col min="14091" max="14091" width="4.42578125" customWidth="1"/>
    <col min="14097" max="14097" width="10.28515625" customWidth="1"/>
    <col min="14099" max="14099" width="45.85546875" customWidth="1"/>
    <col min="14337" max="14337" width="3.42578125" customWidth="1"/>
    <col min="14343" max="14343" width="10" customWidth="1"/>
    <col min="14345" max="14345" width="54.7109375" customWidth="1"/>
    <col min="14346" max="14346" width="0.42578125" customWidth="1"/>
    <col min="14347" max="14347" width="4.42578125" customWidth="1"/>
    <col min="14353" max="14353" width="10.28515625" customWidth="1"/>
    <col min="14355" max="14355" width="45.85546875" customWidth="1"/>
    <col min="14593" max="14593" width="3.42578125" customWidth="1"/>
    <col min="14599" max="14599" width="10" customWidth="1"/>
    <col min="14601" max="14601" width="54.7109375" customWidth="1"/>
    <col min="14602" max="14602" width="0.42578125" customWidth="1"/>
    <col min="14603" max="14603" width="4.42578125" customWidth="1"/>
    <col min="14609" max="14609" width="10.28515625" customWidth="1"/>
    <col min="14611" max="14611" width="45.85546875" customWidth="1"/>
    <col min="14849" max="14849" width="3.42578125" customWidth="1"/>
    <col min="14855" max="14855" width="10" customWidth="1"/>
    <col min="14857" max="14857" width="54.7109375" customWidth="1"/>
    <col min="14858" max="14858" width="0.42578125" customWidth="1"/>
    <col min="14859" max="14859" width="4.42578125" customWidth="1"/>
    <col min="14865" max="14865" width="10.28515625" customWidth="1"/>
    <col min="14867" max="14867" width="45.85546875" customWidth="1"/>
    <col min="15105" max="15105" width="3.42578125" customWidth="1"/>
    <col min="15111" max="15111" width="10" customWidth="1"/>
    <col min="15113" max="15113" width="54.7109375" customWidth="1"/>
    <col min="15114" max="15114" width="0.42578125" customWidth="1"/>
    <col min="15115" max="15115" width="4.42578125" customWidth="1"/>
    <col min="15121" max="15121" width="10.28515625" customWidth="1"/>
    <col min="15123" max="15123" width="45.85546875" customWidth="1"/>
    <col min="15361" max="15361" width="3.42578125" customWidth="1"/>
    <col min="15367" max="15367" width="10" customWidth="1"/>
    <col min="15369" max="15369" width="54.7109375" customWidth="1"/>
    <col min="15370" max="15370" width="0.42578125" customWidth="1"/>
    <col min="15371" max="15371" width="4.42578125" customWidth="1"/>
    <col min="15377" max="15377" width="10.28515625" customWidth="1"/>
    <col min="15379" max="15379" width="45.85546875" customWidth="1"/>
    <col min="15617" max="15617" width="3.42578125" customWidth="1"/>
    <col min="15623" max="15623" width="10" customWidth="1"/>
    <col min="15625" max="15625" width="54.7109375" customWidth="1"/>
    <col min="15626" max="15626" width="0.42578125" customWidth="1"/>
    <col min="15627" max="15627" width="4.42578125" customWidth="1"/>
    <col min="15633" max="15633" width="10.28515625" customWidth="1"/>
    <col min="15635" max="15635" width="45.85546875" customWidth="1"/>
    <col min="15873" max="15873" width="3.42578125" customWidth="1"/>
    <col min="15879" max="15879" width="10" customWidth="1"/>
    <col min="15881" max="15881" width="54.7109375" customWidth="1"/>
    <col min="15882" max="15882" width="0.42578125" customWidth="1"/>
    <col min="15883" max="15883" width="4.42578125" customWidth="1"/>
    <col min="15889" max="15889" width="10.28515625" customWidth="1"/>
    <col min="15891" max="15891" width="45.85546875" customWidth="1"/>
    <col min="16129" max="16129" width="3.42578125" customWidth="1"/>
    <col min="16135" max="16135" width="10" customWidth="1"/>
    <col min="16137" max="16137" width="54.7109375" customWidth="1"/>
    <col min="16138" max="16138" width="0.42578125" customWidth="1"/>
    <col min="16139" max="16139" width="4.42578125" customWidth="1"/>
    <col min="16145" max="16145" width="10.28515625" customWidth="1"/>
    <col min="16147" max="16147" width="45.8554687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403</v>
      </c>
      <c r="E2" s="3"/>
      <c r="F2" s="3"/>
      <c r="G2" s="3"/>
      <c r="H2" s="3"/>
      <c r="I2" s="3"/>
      <c r="K2" s="3" t="s">
        <v>205</v>
      </c>
      <c r="L2" s="3"/>
      <c r="M2" s="3"/>
      <c r="N2" s="3" t="s">
        <v>404</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1563.8</v>
      </c>
      <c r="G4" s="3" t="s">
        <v>207</v>
      </c>
      <c r="H4" s="3"/>
      <c r="I4" s="3"/>
      <c r="J4" s="3"/>
      <c r="K4" s="3"/>
      <c r="L4" s="5" t="s">
        <v>206</v>
      </c>
      <c r="M4" s="3"/>
      <c r="N4" s="3"/>
      <c r="O4" s="3"/>
      <c r="P4" s="3">
        <v>1710.4</v>
      </c>
      <c r="Q4" s="3" t="s">
        <v>207</v>
      </c>
      <c r="R4" s="3"/>
      <c r="S4" s="3"/>
    </row>
    <row r="5" spans="1:19" ht="15" customHeight="1" x14ac:dyDescent="0.25">
      <c r="A5" s="175" t="s">
        <v>209</v>
      </c>
      <c r="B5" s="177" t="s">
        <v>210</v>
      </c>
      <c r="C5" s="178"/>
      <c r="D5" s="178"/>
      <c r="E5" s="178"/>
      <c r="F5" s="178"/>
      <c r="G5" s="180" t="s">
        <v>442</v>
      </c>
      <c r="H5" s="181"/>
      <c r="I5" s="175" t="s">
        <v>212</v>
      </c>
      <c r="J5" s="31"/>
      <c r="K5" s="175" t="s">
        <v>209</v>
      </c>
      <c r="L5" s="177" t="s">
        <v>210</v>
      </c>
      <c r="M5" s="178"/>
      <c r="N5" s="178"/>
      <c r="O5" s="178"/>
      <c r="P5" s="178"/>
      <c r="Q5" s="180" t="s">
        <v>442</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43424.5</v>
      </c>
      <c r="H7" s="191"/>
      <c r="I7" s="192"/>
      <c r="J7" s="33"/>
      <c r="K7" s="185" t="s">
        <v>213</v>
      </c>
      <c r="L7" s="187" t="s">
        <v>354</v>
      </c>
      <c r="M7" s="188"/>
      <c r="N7" s="188"/>
      <c r="O7" s="188"/>
      <c r="P7" s="188"/>
      <c r="Q7" s="190">
        <v>25492.09</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1.49*12*F4</f>
        <v>27960.743999999999</v>
      </c>
      <c r="H9" s="164"/>
      <c r="I9" s="169" t="s">
        <v>215</v>
      </c>
      <c r="J9" s="35"/>
      <c r="K9" s="6"/>
      <c r="L9" s="161" t="s">
        <v>214</v>
      </c>
      <c r="M9" s="162"/>
      <c r="N9" s="162"/>
      <c r="O9" s="162"/>
      <c r="P9" s="162"/>
      <c r="Q9" s="163">
        <f>1.5*12*P4</f>
        <v>30787.200000000001</v>
      </c>
      <c r="R9" s="164"/>
      <c r="S9" s="169" t="s">
        <v>215</v>
      </c>
    </row>
    <row r="10" spans="1:19" ht="43.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3.5"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13.5" customHeight="1" thickBot="1" x14ac:dyDescent="0.3">
      <c r="A13" s="7"/>
      <c r="B13" s="141" t="s">
        <v>221</v>
      </c>
      <c r="C13" s="142"/>
      <c r="D13" s="142"/>
      <c r="E13" s="142"/>
      <c r="F13" s="142"/>
      <c r="G13" s="143">
        <f>0.3*12*F4</f>
        <v>5629.6799999999994</v>
      </c>
      <c r="H13" s="144"/>
      <c r="I13" s="8" t="s">
        <v>222</v>
      </c>
      <c r="J13" s="38"/>
      <c r="K13" s="7"/>
      <c r="L13" s="141" t="s">
        <v>221</v>
      </c>
      <c r="M13" s="142"/>
      <c r="N13" s="142"/>
      <c r="O13" s="142"/>
      <c r="P13" s="142"/>
      <c r="Q13" s="143">
        <f>0.2*12*P4</f>
        <v>4104.9600000000009</v>
      </c>
      <c r="R13" s="144"/>
      <c r="S13" s="8" t="s">
        <v>222</v>
      </c>
    </row>
    <row r="14" spans="1:19" ht="13.5" customHeight="1" x14ac:dyDescent="0.25">
      <c r="A14" s="9"/>
      <c r="B14" s="145" t="s">
        <v>223</v>
      </c>
      <c r="C14" s="146"/>
      <c r="D14" s="146"/>
      <c r="E14" s="146"/>
      <c r="F14" s="146"/>
      <c r="G14" s="86">
        <f>1.69*12*F4</f>
        <v>31713.864000000001</v>
      </c>
      <c r="H14" s="147"/>
      <c r="I14" s="152" t="s">
        <v>224</v>
      </c>
      <c r="J14" s="38"/>
      <c r="K14" s="9"/>
      <c r="L14" s="145" t="s">
        <v>223</v>
      </c>
      <c r="M14" s="146"/>
      <c r="N14" s="146"/>
      <c r="O14" s="146"/>
      <c r="P14" s="146"/>
      <c r="Q14" s="86">
        <f>1.46*12*P4</f>
        <v>29966.208000000002</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0.2*12*F4</f>
        <v>3753.1200000000003</v>
      </c>
      <c r="H18" s="87"/>
      <c r="I18" s="129" t="s">
        <v>220</v>
      </c>
      <c r="J18" s="36"/>
      <c r="K18" s="12"/>
      <c r="L18" s="125" t="s">
        <v>230</v>
      </c>
      <c r="M18" s="126"/>
      <c r="N18" s="126"/>
      <c r="O18" s="126"/>
      <c r="P18" s="126"/>
      <c r="Q18" s="86">
        <f>0.02*12*P4</f>
        <v>410.49599999999998</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13.5" customHeight="1" thickBot="1" x14ac:dyDescent="0.3">
      <c r="A21" s="13"/>
      <c r="B21" s="84" t="s">
        <v>233</v>
      </c>
      <c r="C21" s="85"/>
      <c r="D21" s="85"/>
      <c r="E21" s="85"/>
      <c r="F21" s="85"/>
      <c r="G21" s="86">
        <f>1.45*12*F4</f>
        <v>27210.119999999995</v>
      </c>
      <c r="H21" s="87"/>
      <c r="I21" s="320" t="s">
        <v>643</v>
      </c>
      <c r="J21" s="41"/>
      <c r="K21" s="13"/>
      <c r="L21" s="84" t="s">
        <v>233</v>
      </c>
      <c r="M21" s="85"/>
      <c r="N21" s="85"/>
      <c r="O21" s="85"/>
      <c r="P21" s="85"/>
      <c r="Q21" s="86">
        <f>1.1*12*P4</f>
        <v>22577.280000000002</v>
      </c>
      <c r="R21" s="87"/>
      <c r="S21" s="92" t="s">
        <v>644</v>
      </c>
    </row>
    <row r="22" spans="1:19" ht="13.5" customHeight="1" x14ac:dyDescent="0.25">
      <c r="A22" s="118"/>
      <c r="B22" s="121" t="s">
        <v>226</v>
      </c>
      <c r="C22" s="122"/>
      <c r="D22" s="122"/>
      <c r="E22" s="122"/>
      <c r="F22" s="122"/>
      <c r="G22" s="88"/>
      <c r="H22" s="89"/>
      <c r="I22" s="321"/>
      <c r="J22" s="41"/>
      <c r="K22" s="118"/>
      <c r="L22" s="121" t="s">
        <v>226</v>
      </c>
      <c r="M22" s="122"/>
      <c r="N22" s="122"/>
      <c r="O22" s="122"/>
      <c r="P22" s="122"/>
      <c r="Q22" s="88"/>
      <c r="R22" s="89"/>
      <c r="S22" s="93"/>
    </row>
    <row r="23" spans="1:19" ht="13.5" customHeight="1" x14ac:dyDescent="0.25">
      <c r="A23" s="119"/>
      <c r="B23" s="121" t="s">
        <v>227</v>
      </c>
      <c r="C23" s="122"/>
      <c r="D23" s="122"/>
      <c r="E23" s="122"/>
      <c r="F23" s="122"/>
      <c r="G23" s="88"/>
      <c r="H23" s="89"/>
      <c r="I23" s="321"/>
      <c r="J23" s="42"/>
      <c r="K23" s="119"/>
      <c r="L23" s="121" t="s">
        <v>227</v>
      </c>
      <c r="M23" s="122"/>
      <c r="N23" s="122"/>
      <c r="O23" s="122"/>
      <c r="P23" s="122"/>
      <c r="Q23" s="88"/>
      <c r="R23" s="89"/>
      <c r="S23" s="93"/>
    </row>
    <row r="24" spans="1:19" ht="18" customHeight="1" x14ac:dyDescent="0.25">
      <c r="A24" s="119"/>
      <c r="B24" s="121" t="s">
        <v>228</v>
      </c>
      <c r="C24" s="122"/>
      <c r="D24" s="122"/>
      <c r="E24" s="122"/>
      <c r="F24" s="122"/>
      <c r="G24" s="88"/>
      <c r="H24" s="89"/>
      <c r="I24" s="321"/>
      <c r="J24" s="43"/>
      <c r="K24" s="119"/>
      <c r="L24" s="121" t="s">
        <v>228</v>
      </c>
      <c r="M24" s="122"/>
      <c r="N24" s="122"/>
      <c r="O24" s="122"/>
      <c r="P24" s="122"/>
      <c r="Q24" s="88"/>
      <c r="R24" s="89"/>
      <c r="S24" s="93"/>
    </row>
    <row r="25" spans="1:19" ht="73.5" customHeight="1" thickBot="1" x14ac:dyDescent="0.3">
      <c r="A25" s="120"/>
      <c r="B25" s="123" t="s">
        <v>234</v>
      </c>
      <c r="C25" s="124"/>
      <c r="D25" s="124"/>
      <c r="E25" s="124"/>
      <c r="F25" s="124"/>
      <c r="G25" s="90"/>
      <c r="H25" s="91"/>
      <c r="I25" s="322"/>
      <c r="J25" s="44"/>
      <c r="K25" s="120"/>
      <c r="L25" s="123" t="s">
        <v>234</v>
      </c>
      <c r="M25" s="124"/>
      <c r="N25" s="124"/>
      <c r="O25" s="124"/>
      <c r="P25" s="124"/>
      <c r="Q25" s="90"/>
      <c r="R25" s="91"/>
      <c r="S25" s="94"/>
    </row>
    <row r="26" spans="1:19" ht="29.25" hidden="1" customHeight="1" x14ac:dyDescent="0.25">
      <c r="A26" s="15"/>
      <c r="B26" s="137" t="s">
        <v>248</v>
      </c>
      <c r="C26" s="138"/>
      <c r="D26" s="138"/>
      <c r="E26" s="138"/>
      <c r="F26" s="138"/>
      <c r="G26" s="139"/>
      <c r="H26" s="140"/>
      <c r="I26" s="16"/>
      <c r="J26" s="40"/>
      <c r="K26" s="15"/>
      <c r="L26" s="137" t="s">
        <v>248</v>
      </c>
      <c r="M26" s="138"/>
      <c r="N26" s="138"/>
      <c r="O26" s="138"/>
      <c r="P26" s="138"/>
      <c r="Q26" s="139"/>
      <c r="R26" s="140"/>
      <c r="S26" s="16"/>
    </row>
    <row r="27" spans="1:19" ht="0.75" customHeight="1" thickBot="1" x14ac:dyDescent="0.3">
      <c r="A27" s="15"/>
      <c r="B27" s="137" t="s">
        <v>235</v>
      </c>
      <c r="C27" s="138"/>
      <c r="D27" s="138"/>
      <c r="E27" s="138"/>
      <c r="F27" s="138"/>
      <c r="G27" s="139"/>
      <c r="H27" s="140"/>
      <c r="I27" s="16"/>
      <c r="J27" s="45"/>
      <c r="K27" s="15"/>
      <c r="L27" s="137" t="s">
        <v>235</v>
      </c>
      <c r="M27" s="138"/>
      <c r="N27" s="138"/>
      <c r="O27" s="138"/>
      <c r="P27" s="138"/>
      <c r="Q27" s="139"/>
      <c r="R27" s="140"/>
      <c r="S27" s="16"/>
    </row>
    <row r="28" spans="1:19" ht="31.5" customHeight="1" thickBot="1" x14ac:dyDescent="0.3">
      <c r="A28" s="17"/>
      <c r="B28" s="78" t="s">
        <v>237</v>
      </c>
      <c r="C28" s="79"/>
      <c r="D28" s="79"/>
      <c r="E28" s="79"/>
      <c r="F28" s="79"/>
      <c r="G28" s="86">
        <f>18833/2</f>
        <v>9416.5</v>
      </c>
      <c r="H28" s="87"/>
      <c r="I28" s="108" t="s">
        <v>229</v>
      </c>
      <c r="J28" s="41"/>
      <c r="K28" s="17"/>
      <c r="L28" s="78" t="s">
        <v>237</v>
      </c>
      <c r="M28" s="79"/>
      <c r="N28" s="79"/>
      <c r="O28" s="79"/>
      <c r="P28" s="79"/>
      <c r="Q28" s="86">
        <v>13258</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105684.02799999999</v>
      </c>
      <c r="H30" s="115"/>
      <c r="I30" s="20"/>
      <c r="J30" s="47"/>
      <c r="K30" s="19"/>
      <c r="L30" s="112" t="s">
        <v>239</v>
      </c>
      <c r="M30" s="113"/>
      <c r="N30" s="113"/>
      <c r="O30" s="113"/>
      <c r="P30" s="113"/>
      <c r="Q30" s="114">
        <f>SUM(Q9:R29)</f>
        <v>101104.144</v>
      </c>
      <c r="R30" s="115"/>
      <c r="S30" s="20"/>
    </row>
    <row r="31" spans="1:19" ht="19.5" customHeight="1" thickBot="1" x14ac:dyDescent="0.3">
      <c r="A31" s="21"/>
      <c r="B31" s="101" t="s">
        <v>240</v>
      </c>
      <c r="C31" s="102"/>
      <c r="D31" s="102"/>
      <c r="E31" s="102"/>
      <c r="F31" s="102"/>
      <c r="G31" s="116">
        <f>G30*1.2</f>
        <v>126820.83359999998</v>
      </c>
      <c r="H31" s="117"/>
      <c r="I31" s="22"/>
      <c r="J31" s="47"/>
      <c r="K31" s="21"/>
      <c r="L31" s="101" t="s">
        <v>240</v>
      </c>
      <c r="M31" s="102"/>
      <c r="N31" s="102"/>
      <c r="O31" s="102"/>
      <c r="P31" s="102"/>
      <c r="Q31" s="116">
        <f>Q30*1.2</f>
        <v>121324.97279999999</v>
      </c>
      <c r="R31" s="117"/>
      <c r="S31" s="22"/>
    </row>
    <row r="32" spans="1:19" ht="19.5" customHeight="1" thickBot="1" x14ac:dyDescent="0.3">
      <c r="A32" s="24"/>
      <c r="B32" s="96" t="s">
        <v>443</v>
      </c>
      <c r="C32" s="97"/>
      <c r="D32" s="97"/>
      <c r="E32" s="97"/>
      <c r="F32" s="97"/>
      <c r="G32" s="311">
        <v>125256.18</v>
      </c>
      <c r="H32" s="312"/>
      <c r="I32" s="313"/>
      <c r="J32" s="47"/>
      <c r="K32" s="24"/>
      <c r="L32" s="96" t="s">
        <v>443</v>
      </c>
      <c r="M32" s="97"/>
      <c r="N32" s="97"/>
      <c r="O32" s="97"/>
      <c r="P32" s="97"/>
      <c r="Q32" s="311">
        <v>121841.28</v>
      </c>
      <c r="R32" s="312"/>
      <c r="S32" s="313"/>
    </row>
    <row r="33" spans="1:19" ht="19.5" customHeight="1" thickBot="1" x14ac:dyDescent="0.3">
      <c r="A33" s="19"/>
      <c r="B33" s="101" t="s">
        <v>242</v>
      </c>
      <c r="C33" s="102"/>
      <c r="D33" s="102"/>
      <c r="E33" s="102"/>
      <c r="F33" s="102"/>
      <c r="G33" s="307">
        <v>146166.81</v>
      </c>
      <c r="H33" s="308"/>
      <c r="I33" s="309"/>
      <c r="J33" s="48"/>
      <c r="K33" s="19"/>
      <c r="L33" s="101" t="s">
        <v>242</v>
      </c>
      <c r="M33" s="102"/>
      <c r="N33" s="102"/>
      <c r="O33" s="102"/>
      <c r="P33" s="102"/>
      <c r="Q33" s="307">
        <v>120687.65</v>
      </c>
      <c r="R33" s="308"/>
      <c r="S33" s="309"/>
    </row>
    <row r="34" spans="1:19" ht="19.5" customHeight="1" thickBot="1" x14ac:dyDescent="0.3">
      <c r="A34" s="19"/>
      <c r="B34" s="106" t="s">
        <v>444</v>
      </c>
      <c r="C34" s="107"/>
      <c r="D34" s="107"/>
      <c r="E34" s="107"/>
      <c r="F34" s="107"/>
      <c r="G34" s="307">
        <v>22513.87</v>
      </c>
      <c r="H34" s="308"/>
      <c r="I34" s="309"/>
      <c r="J34" s="49"/>
      <c r="K34" s="19"/>
      <c r="L34" s="106" t="s">
        <v>444</v>
      </c>
      <c r="M34" s="107"/>
      <c r="N34" s="107"/>
      <c r="O34" s="107"/>
      <c r="P34" s="107"/>
      <c r="Q34" s="307">
        <v>26645.72</v>
      </c>
      <c r="R34" s="308"/>
      <c r="S34" s="309"/>
    </row>
    <row r="35" spans="1:19" x14ac:dyDescent="0.25">
      <c r="E35" s="50"/>
      <c r="I35" s="5"/>
      <c r="O35" s="50"/>
      <c r="S35" s="5"/>
    </row>
    <row r="36" spans="1:19" x14ac:dyDescent="0.25">
      <c r="A36" s="3"/>
      <c r="I36" s="5"/>
      <c r="K36" s="3"/>
      <c r="S36" s="5"/>
    </row>
    <row r="37" spans="1:19" ht="15.75" x14ac:dyDescent="0.25">
      <c r="A37" s="30"/>
      <c r="C37" s="30"/>
      <c r="K37" s="30"/>
      <c r="N37" s="30"/>
    </row>
    <row r="38" spans="1:19" ht="15.75" x14ac:dyDescent="0.25">
      <c r="A38" s="30"/>
      <c r="C38" s="30"/>
      <c r="K38" s="30"/>
      <c r="N38" s="30"/>
    </row>
    <row r="39" spans="1:19" x14ac:dyDescent="0.25">
      <c r="A39" s="3"/>
      <c r="B39" s="3"/>
      <c r="C39" s="3"/>
      <c r="D39" s="3"/>
      <c r="E39" s="4" t="s">
        <v>204</v>
      </c>
      <c r="F39" s="3"/>
      <c r="G39" s="3"/>
      <c r="H39" s="3"/>
      <c r="I39" s="3"/>
      <c r="K39" s="3"/>
      <c r="L39" s="3"/>
      <c r="M39" s="3"/>
      <c r="N39" s="3"/>
      <c r="O39" s="4" t="s">
        <v>204</v>
      </c>
      <c r="P39" s="3"/>
      <c r="Q39" s="3"/>
      <c r="R39" s="3"/>
      <c r="S39" s="3"/>
    </row>
    <row r="40" spans="1:19" x14ac:dyDescent="0.25">
      <c r="A40" s="3" t="s">
        <v>205</v>
      </c>
      <c r="B40" s="3"/>
      <c r="C40" s="3"/>
      <c r="D40" s="3" t="s">
        <v>405</v>
      </c>
      <c r="E40" s="3"/>
      <c r="F40" s="3"/>
      <c r="G40" s="3"/>
      <c r="H40" s="3"/>
      <c r="I40" s="3"/>
      <c r="K40" s="3" t="s">
        <v>205</v>
      </c>
      <c r="L40" s="3"/>
      <c r="M40" s="3"/>
      <c r="N40" s="3" t="s">
        <v>406</v>
      </c>
      <c r="O40" s="3"/>
      <c r="P40" s="3"/>
      <c r="Q40" s="3"/>
      <c r="R40" s="3"/>
      <c r="S40" s="3"/>
    </row>
    <row r="41" spans="1:19" x14ac:dyDescent="0.25">
      <c r="A41" s="3"/>
      <c r="B41" s="5" t="s">
        <v>440</v>
      </c>
      <c r="C41" s="3"/>
      <c r="D41" s="3"/>
      <c r="E41" s="3"/>
      <c r="F41" s="3"/>
      <c r="G41" s="3"/>
      <c r="H41" s="3"/>
      <c r="I41" s="3"/>
      <c r="J41" s="3"/>
      <c r="K41" s="3"/>
      <c r="L41" s="5" t="s">
        <v>440</v>
      </c>
      <c r="M41" s="3"/>
      <c r="N41" s="3"/>
      <c r="O41" s="3"/>
      <c r="P41" s="3"/>
      <c r="Q41" s="3"/>
      <c r="R41" s="3"/>
      <c r="S41" s="3"/>
    </row>
    <row r="42" spans="1:19" ht="15.75" thickBot="1" x14ac:dyDescent="0.3">
      <c r="A42" s="3"/>
      <c r="B42" s="5" t="s">
        <v>206</v>
      </c>
      <c r="C42" s="3"/>
      <c r="D42" s="3"/>
      <c r="E42" s="3"/>
      <c r="F42" s="3">
        <v>1480.8</v>
      </c>
      <c r="G42" s="3" t="s">
        <v>207</v>
      </c>
      <c r="H42" s="3"/>
      <c r="I42" s="3"/>
      <c r="J42" s="3"/>
      <c r="K42" s="3"/>
      <c r="L42" s="5" t="s">
        <v>206</v>
      </c>
      <c r="M42" s="3"/>
      <c r="N42" s="3"/>
      <c r="O42" s="3"/>
      <c r="P42" s="3">
        <v>3003.5</v>
      </c>
      <c r="Q42" s="3" t="s">
        <v>207</v>
      </c>
      <c r="R42" s="3"/>
      <c r="S42" s="3"/>
    </row>
    <row r="43" spans="1:19" ht="15" customHeight="1" x14ac:dyDescent="0.25">
      <c r="A43" s="175" t="s">
        <v>209</v>
      </c>
      <c r="B43" s="177" t="s">
        <v>210</v>
      </c>
      <c r="C43" s="178"/>
      <c r="D43" s="178"/>
      <c r="E43" s="178"/>
      <c r="F43" s="178"/>
      <c r="G43" s="180" t="s">
        <v>442</v>
      </c>
      <c r="H43" s="181"/>
      <c r="I43" s="175" t="s">
        <v>212</v>
      </c>
      <c r="J43" s="51"/>
      <c r="K43" s="175" t="s">
        <v>209</v>
      </c>
      <c r="L43" s="177" t="s">
        <v>210</v>
      </c>
      <c r="M43" s="178"/>
      <c r="N43" s="178"/>
      <c r="O43" s="178"/>
      <c r="P43" s="178"/>
      <c r="Q43" s="180" t="s">
        <v>442</v>
      </c>
      <c r="R43" s="181"/>
      <c r="S43" s="175" t="s">
        <v>212</v>
      </c>
    </row>
    <row r="44" spans="1:19" ht="69" customHeight="1" thickBot="1" x14ac:dyDescent="0.3">
      <c r="A44" s="176"/>
      <c r="B44" s="179"/>
      <c r="C44" s="179"/>
      <c r="D44" s="179"/>
      <c r="E44" s="179"/>
      <c r="F44" s="179"/>
      <c r="G44" s="182"/>
      <c r="H44" s="183"/>
      <c r="I44" s="184"/>
      <c r="J44" s="52"/>
      <c r="K44" s="176"/>
      <c r="L44" s="179"/>
      <c r="M44" s="179"/>
      <c r="N44" s="179"/>
      <c r="O44" s="179"/>
      <c r="P44" s="179"/>
      <c r="Q44" s="182"/>
      <c r="R44" s="183"/>
      <c r="S44" s="184"/>
    </row>
    <row r="45" spans="1:19" ht="15" customHeight="1" x14ac:dyDescent="0.25">
      <c r="A45" s="185" t="s">
        <v>213</v>
      </c>
      <c r="B45" s="187" t="s">
        <v>354</v>
      </c>
      <c r="C45" s="188"/>
      <c r="D45" s="188"/>
      <c r="E45" s="188"/>
      <c r="F45" s="188"/>
      <c r="G45" s="190">
        <v>58440.28</v>
      </c>
      <c r="H45" s="191"/>
      <c r="I45" s="192"/>
      <c r="J45" s="53"/>
      <c r="K45" s="185" t="s">
        <v>213</v>
      </c>
      <c r="L45" s="187" t="s">
        <v>354</v>
      </c>
      <c r="M45" s="188"/>
      <c r="N45" s="188"/>
      <c r="O45" s="188"/>
      <c r="P45" s="188"/>
      <c r="Q45" s="190">
        <v>11198.65</v>
      </c>
      <c r="R45" s="191"/>
      <c r="S45" s="192"/>
    </row>
    <row r="46" spans="1:19" ht="7.5" customHeight="1" thickBot="1" x14ac:dyDescent="0.3">
      <c r="A46" s="186"/>
      <c r="B46" s="189"/>
      <c r="C46" s="189"/>
      <c r="D46" s="189"/>
      <c r="E46" s="189"/>
      <c r="F46" s="189"/>
      <c r="G46" s="193"/>
      <c r="H46" s="194"/>
      <c r="I46" s="128"/>
      <c r="J46" s="54"/>
      <c r="K46" s="186"/>
      <c r="L46" s="189"/>
      <c r="M46" s="189"/>
      <c r="N46" s="189"/>
      <c r="O46" s="189"/>
      <c r="P46" s="189"/>
      <c r="Q46" s="193"/>
      <c r="R46" s="194"/>
      <c r="S46" s="128"/>
    </row>
    <row r="47" spans="1:19" ht="17.25" customHeight="1" x14ac:dyDescent="0.25">
      <c r="A47" s="6"/>
      <c r="B47" s="161" t="s">
        <v>214</v>
      </c>
      <c r="C47" s="162"/>
      <c r="D47" s="162"/>
      <c r="E47" s="162"/>
      <c r="F47" s="162"/>
      <c r="G47" s="163">
        <f>1.31*12*F42</f>
        <v>23278.175999999999</v>
      </c>
      <c r="H47" s="164"/>
      <c r="I47" s="169" t="s">
        <v>215</v>
      </c>
      <c r="J47" s="42"/>
      <c r="K47" s="6"/>
      <c r="L47" s="161" t="s">
        <v>214</v>
      </c>
      <c r="M47" s="162"/>
      <c r="N47" s="162"/>
      <c r="O47" s="162"/>
      <c r="P47" s="162"/>
      <c r="Q47" s="163">
        <f>1*12*P42</f>
        <v>36042</v>
      </c>
      <c r="R47" s="164"/>
      <c r="S47" s="169" t="s">
        <v>215</v>
      </c>
    </row>
    <row r="48" spans="1:19" ht="48.75" customHeight="1" thickBot="1" x14ac:dyDescent="0.3">
      <c r="A48" s="7"/>
      <c r="B48" s="171" t="s">
        <v>216</v>
      </c>
      <c r="C48" s="172"/>
      <c r="D48" s="172"/>
      <c r="E48" s="172"/>
      <c r="F48" s="172"/>
      <c r="G48" s="165"/>
      <c r="H48" s="166"/>
      <c r="I48" s="170"/>
      <c r="J48" s="43"/>
      <c r="K48" s="7"/>
      <c r="L48" s="171" t="s">
        <v>216</v>
      </c>
      <c r="M48" s="172"/>
      <c r="N48" s="172"/>
      <c r="O48" s="172"/>
      <c r="P48" s="172"/>
      <c r="Q48" s="165"/>
      <c r="R48" s="166"/>
      <c r="S48" s="170"/>
    </row>
    <row r="49" spans="1:19" ht="13.5" customHeight="1" thickBot="1" x14ac:dyDescent="0.3">
      <c r="A49" s="7"/>
      <c r="B49" s="173" t="s">
        <v>217</v>
      </c>
      <c r="C49" s="174"/>
      <c r="D49" s="174"/>
      <c r="E49" s="174"/>
      <c r="F49" s="174"/>
      <c r="G49" s="167"/>
      <c r="H49" s="168"/>
      <c r="I49" s="8" t="s">
        <v>218</v>
      </c>
      <c r="J49" s="43"/>
      <c r="K49" s="7"/>
      <c r="L49" s="173" t="s">
        <v>217</v>
      </c>
      <c r="M49" s="174"/>
      <c r="N49" s="174"/>
      <c r="O49" s="174"/>
      <c r="P49" s="174"/>
      <c r="Q49" s="167"/>
      <c r="R49" s="168"/>
      <c r="S49" s="8" t="s">
        <v>218</v>
      </c>
    </row>
    <row r="50" spans="1:19" ht="13.5" customHeight="1" thickBot="1" x14ac:dyDescent="0.3">
      <c r="A50" s="7"/>
      <c r="B50" s="141" t="s">
        <v>219</v>
      </c>
      <c r="C50" s="142"/>
      <c r="D50" s="142"/>
      <c r="E50" s="142"/>
      <c r="F50" s="142"/>
      <c r="G50" s="143">
        <v>0</v>
      </c>
      <c r="H50" s="144"/>
      <c r="I50" s="8" t="s">
        <v>220</v>
      </c>
      <c r="J50" s="55"/>
      <c r="K50" s="7"/>
      <c r="L50" s="141" t="s">
        <v>219</v>
      </c>
      <c r="M50" s="142"/>
      <c r="N50" s="142"/>
      <c r="O50" s="142"/>
      <c r="P50" s="142"/>
      <c r="Q50" s="143">
        <v>0</v>
      </c>
      <c r="R50" s="144"/>
      <c r="S50" s="8" t="s">
        <v>220</v>
      </c>
    </row>
    <row r="51" spans="1:19" ht="13.5" customHeight="1" thickBot="1" x14ac:dyDescent="0.3">
      <c r="A51" s="7"/>
      <c r="B51" s="141" t="s">
        <v>221</v>
      </c>
      <c r="C51" s="142"/>
      <c r="D51" s="142"/>
      <c r="E51" s="142"/>
      <c r="F51" s="142"/>
      <c r="G51" s="143">
        <f>0.3*12*F42</f>
        <v>5330.8799999999992</v>
      </c>
      <c r="H51" s="144"/>
      <c r="I51" s="8" t="s">
        <v>222</v>
      </c>
      <c r="J51" s="56"/>
      <c r="K51" s="7"/>
      <c r="L51" s="141" t="s">
        <v>221</v>
      </c>
      <c r="M51" s="142"/>
      <c r="N51" s="142"/>
      <c r="O51" s="142"/>
      <c r="P51" s="142"/>
      <c r="Q51" s="143">
        <f>0.3*12*P42</f>
        <v>10812.599999999999</v>
      </c>
      <c r="R51" s="144"/>
      <c r="S51" s="8" t="s">
        <v>222</v>
      </c>
    </row>
    <row r="52" spans="1:19" ht="13.5" customHeight="1" x14ac:dyDescent="0.25">
      <c r="A52" s="9"/>
      <c r="B52" s="145" t="s">
        <v>223</v>
      </c>
      <c r="C52" s="146"/>
      <c r="D52" s="146"/>
      <c r="E52" s="146"/>
      <c r="F52" s="146"/>
      <c r="G52" s="86">
        <f>1.42*12*F42</f>
        <v>25232.831999999999</v>
      </c>
      <c r="H52" s="147"/>
      <c r="I52" s="152" t="s">
        <v>224</v>
      </c>
      <c r="J52" s="56"/>
      <c r="K52" s="9"/>
      <c r="L52" s="145" t="s">
        <v>223</v>
      </c>
      <c r="M52" s="146"/>
      <c r="N52" s="146"/>
      <c r="O52" s="146"/>
      <c r="P52" s="146"/>
      <c r="Q52" s="86">
        <f>1.31*12*P42</f>
        <v>47215.020000000004</v>
      </c>
      <c r="R52" s="147"/>
      <c r="S52" s="152" t="s">
        <v>224</v>
      </c>
    </row>
    <row r="53" spans="1:19" ht="13.5" customHeight="1" x14ac:dyDescent="0.25">
      <c r="A53" s="10"/>
      <c r="B53" s="155" t="s">
        <v>226</v>
      </c>
      <c r="C53" s="156"/>
      <c r="D53" s="156"/>
      <c r="E53" s="156"/>
      <c r="F53" s="156"/>
      <c r="G53" s="148"/>
      <c r="H53" s="149"/>
      <c r="I53" s="153"/>
      <c r="J53" s="57"/>
      <c r="K53" s="10"/>
      <c r="L53" s="155" t="s">
        <v>226</v>
      </c>
      <c r="M53" s="156"/>
      <c r="N53" s="156"/>
      <c r="O53" s="156"/>
      <c r="P53" s="156"/>
      <c r="Q53" s="148"/>
      <c r="R53" s="149"/>
      <c r="S53" s="153"/>
    </row>
    <row r="54" spans="1:19" ht="13.5" customHeight="1" thickBot="1" x14ac:dyDescent="0.3">
      <c r="A54" s="10"/>
      <c r="B54" s="157" t="s">
        <v>227</v>
      </c>
      <c r="C54" s="158"/>
      <c r="D54" s="158"/>
      <c r="E54" s="158"/>
      <c r="F54" s="158"/>
      <c r="G54" s="148"/>
      <c r="H54" s="149"/>
      <c r="I54" s="154"/>
      <c r="J54" s="43"/>
      <c r="K54" s="10"/>
      <c r="L54" s="157" t="s">
        <v>227</v>
      </c>
      <c r="M54" s="158"/>
      <c r="N54" s="158"/>
      <c r="O54" s="158"/>
      <c r="P54" s="158"/>
      <c r="Q54" s="148"/>
      <c r="R54" s="149"/>
      <c r="S54" s="154"/>
    </row>
    <row r="55" spans="1:19" ht="13.5" customHeight="1" thickBot="1" x14ac:dyDescent="0.3">
      <c r="A55" s="10"/>
      <c r="B55" s="159" t="s">
        <v>228</v>
      </c>
      <c r="C55" s="160"/>
      <c r="D55" s="160"/>
      <c r="E55" s="160"/>
      <c r="F55" s="160"/>
      <c r="G55" s="150"/>
      <c r="H55" s="151"/>
      <c r="I55" s="11" t="s">
        <v>229</v>
      </c>
      <c r="J55" s="43"/>
      <c r="K55" s="10"/>
      <c r="L55" s="159" t="s">
        <v>228</v>
      </c>
      <c r="M55" s="160"/>
      <c r="N55" s="160"/>
      <c r="O55" s="160"/>
      <c r="P55" s="160"/>
      <c r="Q55" s="150"/>
      <c r="R55" s="151"/>
      <c r="S55" s="11" t="s">
        <v>229</v>
      </c>
    </row>
    <row r="56" spans="1:19" ht="13.5" customHeight="1" x14ac:dyDescent="0.25">
      <c r="A56" s="12"/>
      <c r="B56" s="125" t="s">
        <v>230</v>
      </c>
      <c r="C56" s="126"/>
      <c r="D56" s="126"/>
      <c r="E56" s="126"/>
      <c r="F56" s="126"/>
      <c r="G56" s="86">
        <f>0.2*12*F42</f>
        <v>3553.9200000000005</v>
      </c>
      <c r="H56" s="87"/>
      <c r="I56" s="129" t="s">
        <v>220</v>
      </c>
      <c r="J56" s="43"/>
      <c r="K56" s="12"/>
      <c r="L56" s="125" t="s">
        <v>230</v>
      </c>
      <c r="M56" s="126"/>
      <c r="N56" s="126"/>
      <c r="O56" s="126"/>
      <c r="P56" s="126"/>
      <c r="Q56" s="86">
        <f>0.3*12*P42</f>
        <v>10812.599999999999</v>
      </c>
      <c r="R56" s="87"/>
      <c r="S56" s="129" t="s">
        <v>220</v>
      </c>
    </row>
    <row r="57" spans="1:19" ht="13.5" customHeight="1" thickBot="1" x14ac:dyDescent="0.3">
      <c r="A57" s="7"/>
      <c r="B57" s="131" t="s">
        <v>231</v>
      </c>
      <c r="C57" s="132"/>
      <c r="D57" s="132"/>
      <c r="E57" s="132"/>
      <c r="F57" s="132"/>
      <c r="G57" s="127"/>
      <c r="H57" s="128"/>
      <c r="I57" s="130"/>
      <c r="J57" s="43"/>
      <c r="K57" s="7"/>
      <c r="L57" s="131" t="s">
        <v>231</v>
      </c>
      <c r="M57" s="132"/>
      <c r="N57" s="132"/>
      <c r="O57" s="132"/>
      <c r="P57" s="132"/>
      <c r="Q57" s="127"/>
      <c r="R57" s="128"/>
      <c r="S57" s="130"/>
    </row>
    <row r="58" spans="1:19" ht="15.75" customHeight="1" thickBot="1" x14ac:dyDescent="0.3">
      <c r="A58" s="13"/>
      <c r="B58" s="133" t="s">
        <v>232</v>
      </c>
      <c r="C58" s="134"/>
      <c r="D58" s="134"/>
      <c r="E58" s="134"/>
      <c r="F58" s="134"/>
      <c r="G58" s="135"/>
      <c r="H58" s="136"/>
      <c r="I58" s="14"/>
      <c r="J58" s="58"/>
      <c r="K58" s="13"/>
      <c r="L58" s="133" t="s">
        <v>232</v>
      </c>
      <c r="M58" s="134"/>
      <c r="N58" s="134"/>
      <c r="O58" s="134"/>
      <c r="P58" s="134"/>
      <c r="Q58" s="135"/>
      <c r="R58" s="136"/>
      <c r="S58" s="14"/>
    </row>
    <row r="59" spans="1:19" ht="27.75" customHeight="1" thickBot="1" x14ac:dyDescent="0.3">
      <c r="A59" s="13"/>
      <c r="B59" s="84" t="s">
        <v>233</v>
      </c>
      <c r="C59" s="85"/>
      <c r="D59" s="85"/>
      <c r="E59" s="85"/>
      <c r="F59" s="85"/>
      <c r="G59" s="86">
        <f>0.97*12*F42</f>
        <v>17236.511999999999</v>
      </c>
      <c r="H59" s="87"/>
      <c r="I59" s="317" t="s">
        <v>645</v>
      </c>
      <c r="J59" s="41"/>
      <c r="K59" s="13"/>
      <c r="L59" s="84" t="s">
        <v>233</v>
      </c>
      <c r="M59" s="85"/>
      <c r="N59" s="85"/>
      <c r="O59" s="85"/>
      <c r="P59" s="85"/>
      <c r="Q59" s="86">
        <f>1.12*12*P42</f>
        <v>40367.040000000001</v>
      </c>
      <c r="R59" s="87"/>
      <c r="S59" s="92" t="s">
        <v>646</v>
      </c>
    </row>
    <row r="60" spans="1:19" ht="27" customHeight="1" x14ac:dyDescent="0.25">
      <c r="A60" s="118"/>
      <c r="B60" s="121" t="s">
        <v>226</v>
      </c>
      <c r="C60" s="122"/>
      <c r="D60" s="122"/>
      <c r="E60" s="122"/>
      <c r="F60" s="122"/>
      <c r="G60" s="88"/>
      <c r="H60" s="89"/>
      <c r="I60" s="318"/>
      <c r="J60" s="41"/>
      <c r="K60" s="118"/>
      <c r="L60" s="121" t="s">
        <v>226</v>
      </c>
      <c r="M60" s="122"/>
      <c r="N60" s="122"/>
      <c r="O60" s="122"/>
      <c r="P60" s="122"/>
      <c r="Q60" s="88"/>
      <c r="R60" s="89"/>
      <c r="S60" s="93"/>
    </row>
    <row r="61" spans="1:19" ht="24" customHeight="1" x14ac:dyDescent="0.25">
      <c r="A61" s="119"/>
      <c r="B61" s="121" t="s">
        <v>227</v>
      </c>
      <c r="C61" s="122"/>
      <c r="D61" s="122"/>
      <c r="E61" s="122"/>
      <c r="F61" s="122"/>
      <c r="G61" s="88"/>
      <c r="H61" s="89"/>
      <c r="I61" s="318"/>
      <c r="J61" s="42"/>
      <c r="K61" s="119"/>
      <c r="L61" s="121" t="s">
        <v>227</v>
      </c>
      <c r="M61" s="122"/>
      <c r="N61" s="122"/>
      <c r="O61" s="122"/>
      <c r="P61" s="122"/>
      <c r="Q61" s="88"/>
      <c r="R61" s="89"/>
      <c r="S61" s="93"/>
    </row>
    <row r="62" spans="1:19" ht="21.75" customHeight="1" x14ac:dyDescent="0.25">
      <c r="A62" s="119"/>
      <c r="B62" s="121" t="s">
        <v>228</v>
      </c>
      <c r="C62" s="122"/>
      <c r="D62" s="122"/>
      <c r="E62" s="122"/>
      <c r="F62" s="122"/>
      <c r="G62" s="88"/>
      <c r="H62" s="89"/>
      <c r="I62" s="318"/>
      <c r="J62" s="43"/>
      <c r="K62" s="119"/>
      <c r="L62" s="121" t="s">
        <v>228</v>
      </c>
      <c r="M62" s="122"/>
      <c r="N62" s="122"/>
      <c r="O62" s="122"/>
      <c r="P62" s="122"/>
      <c r="Q62" s="88"/>
      <c r="R62" s="89"/>
      <c r="S62" s="93"/>
    </row>
    <row r="63" spans="1:19" ht="45" customHeight="1" thickBot="1" x14ac:dyDescent="0.3">
      <c r="A63" s="120"/>
      <c r="B63" s="123" t="s">
        <v>234</v>
      </c>
      <c r="C63" s="124"/>
      <c r="D63" s="124"/>
      <c r="E63" s="124"/>
      <c r="F63" s="124"/>
      <c r="G63" s="90"/>
      <c r="H63" s="91"/>
      <c r="I63" s="319"/>
      <c r="J63" s="59"/>
      <c r="K63" s="120"/>
      <c r="L63" s="123" t="s">
        <v>234</v>
      </c>
      <c r="M63" s="124"/>
      <c r="N63" s="124"/>
      <c r="O63" s="124"/>
      <c r="P63" s="124"/>
      <c r="Q63" s="90"/>
      <c r="R63" s="91"/>
      <c r="S63" s="94"/>
    </row>
    <row r="64" spans="1:19" ht="1.5" customHeight="1" thickBot="1" x14ac:dyDescent="0.3">
      <c r="A64" s="15"/>
      <c r="B64" s="137" t="s">
        <v>248</v>
      </c>
      <c r="C64" s="138"/>
      <c r="D64" s="138"/>
      <c r="E64" s="138"/>
      <c r="F64" s="138"/>
      <c r="G64" s="139"/>
      <c r="H64" s="140"/>
      <c r="I64" s="16"/>
      <c r="J64" s="58"/>
      <c r="K64" s="15"/>
      <c r="L64" s="137" t="s">
        <v>248</v>
      </c>
      <c r="M64" s="138"/>
      <c r="N64" s="138"/>
      <c r="O64" s="138"/>
      <c r="P64" s="138"/>
      <c r="Q64" s="139"/>
      <c r="R64" s="140"/>
      <c r="S64" s="16"/>
    </row>
    <row r="65" spans="1:19" ht="33.75" hidden="1" customHeight="1" x14ac:dyDescent="0.25">
      <c r="A65" s="15"/>
      <c r="B65" s="137" t="s">
        <v>235</v>
      </c>
      <c r="C65" s="138"/>
      <c r="D65" s="138"/>
      <c r="E65" s="138"/>
      <c r="F65" s="138"/>
      <c r="G65" s="139"/>
      <c r="H65" s="140"/>
      <c r="I65" s="16"/>
      <c r="J65" s="45"/>
      <c r="K65" s="15"/>
      <c r="L65" s="137" t="s">
        <v>235</v>
      </c>
      <c r="M65" s="138"/>
      <c r="N65" s="138"/>
      <c r="O65" s="138"/>
      <c r="P65" s="138"/>
      <c r="Q65" s="139"/>
      <c r="R65" s="140"/>
      <c r="S65" s="16"/>
    </row>
    <row r="66" spans="1:19" ht="39" customHeight="1" thickBot="1" x14ac:dyDescent="0.3">
      <c r="A66" s="17"/>
      <c r="B66" s="78" t="s">
        <v>237</v>
      </c>
      <c r="C66" s="79"/>
      <c r="D66" s="79"/>
      <c r="E66" s="79"/>
      <c r="F66" s="79"/>
      <c r="G66" s="86">
        <v>13258</v>
      </c>
      <c r="H66" s="87"/>
      <c r="I66" s="108" t="s">
        <v>229</v>
      </c>
      <c r="J66" s="41"/>
      <c r="K66" s="17"/>
      <c r="L66" s="78" t="s">
        <v>237</v>
      </c>
      <c r="M66" s="79"/>
      <c r="N66" s="79"/>
      <c r="O66" s="79"/>
      <c r="P66" s="79"/>
      <c r="Q66" s="86">
        <v>39773</v>
      </c>
      <c r="R66" s="87"/>
      <c r="S66" s="108" t="s">
        <v>229</v>
      </c>
    </row>
    <row r="67" spans="1:19" ht="15.75" customHeight="1" thickBot="1" x14ac:dyDescent="0.3">
      <c r="A67" s="18"/>
      <c r="B67" s="110" t="s">
        <v>238</v>
      </c>
      <c r="C67" s="111"/>
      <c r="D67" s="111"/>
      <c r="E67" s="111"/>
      <c r="F67" s="111"/>
      <c r="G67" s="90"/>
      <c r="H67" s="91"/>
      <c r="I67" s="109"/>
      <c r="J67" s="41"/>
      <c r="K67" s="18"/>
      <c r="L67" s="110" t="s">
        <v>238</v>
      </c>
      <c r="M67" s="111"/>
      <c r="N67" s="111"/>
      <c r="O67" s="111"/>
      <c r="P67" s="111"/>
      <c r="Q67" s="90"/>
      <c r="R67" s="91"/>
      <c r="S67" s="109"/>
    </row>
    <row r="68" spans="1:19" ht="25.5" customHeight="1" thickBot="1" x14ac:dyDescent="0.3">
      <c r="A68" s="19"/>
      <c r="B68" s="112" t="s">
        <v>239</v>
      </c>
      <c r="C68" s="113"/>
      <c r="D68" s="113"/>
      <c r="E68" s="113"/>
      <c r="F68" s="113"/>
      <c r="G68" s="114">
        <f>SUM(G47:H67)</f>
        <v>87890.319999999992</v>
      </c>
      <c r="H68" s="115"/>
      <c r="I68" s="20"/>
      <c r="J68" s="60"/>
      <c r="K68" s="19"/>
      <c r="L68" s="112" t="s">
        <v>239</v>
      </c>
      <c r="M68" s="113"/>
      <c r="N68" s="113"/>
      <c r="O68" s="113"/>
      <c r="P68" s="113"/>
      <c r="Q68" s="114">
        <f>SUM(Q47:R67)</f>
        <v>185022.26</v>
      </c>
      <c r="R68" s="115"/>
      <c r="S68" s="20"/>
    </row>
    <row r="69" spans="1:19" ht="25.5" customHeight="1" thickBot="1" x14ac:dyDescent="0.3">
      <c r="A69" s="21"/>
      <c r="B69" s="101" t="s">
        <v>240</v>
      </c>
      <c r="C69" s="102"/>
      <c r="D69" s="102"/>
      <c r="E69" s="102"/>
      <c r="F69" s="102"/>
      <c r="G69" s="116">
        <f>G68*1.2</f>
        <v>105468.38399999999</v>
      </c>
      <c r="H69" s="117"/>
      <c r="I69" s="22"/>
      <c r="J69" s="60"/>
      <c r="K69" s="21"/>
      <c r="L69" s="101" t="s">
        <v>240</v>
      </c>
      <c r="M69" s="102"/>
      <c r="N69" s="102"/>
      <c r="O69" s="102"/>
      <c r="P69" s="102"/>
      <c r="Q69" s="116">
        <f>Q68*1.2</f>
        <v>222026.712</v>
      </c>
      <c r="R69" s="117"/>
      <c r="S69" s="22"/>
    </row>
    <row r="70" spans="1:19" ht="25.5" customHeight="1" thickBot="1" x14ac:dyDescent="0.3">
      <c r="A70" s="24"/>
      <c r="B70" s="96" t="s">
        <v>443</v>
      </c>
      <c r="C70" s="97"/>
      <c r="D70" s="97"/>
      <c r="E70" s="97"/>
      <c r="F70" s="97"/>
      <c r="G70" s="311">
        <v>104729.42</v>
      </c>
      <c r="H70" s="312"/>
      <c r="I70" s="313"/>
      <c r="J70" s="60"/>
      <c r="K70" s="24"/>
      <c r="L70" s="96" t="s">
        <v>443</v>
      </c>
      <c r="M70" s="97"/>
      <c r="N70" s="97"/>
      <c r="O70" s="97"/>
      <c r="P70" s="97"/>
      <c r="Q70" s="311">
        <v>221537.77</v>
      </c>
      <c r="R70" s="312"/>
      <c r="S70" s="313"/>
    </row>
    <row r="71" spans="1:19" ht="25.5" customHeight="1" thickBot="1" x14ac:dyDescent="0.3">
      <c r="A71" s="19"/>
      <c r="B71" s="101" t="s">
        <v>242</v>
      </c>
      <c r="C71" s="102"/>
      <c r="D71" s="102"/>
      <c r="E71" s="102"/>
      <c r="F71" s="102"/>
      <c r="G71" s="307">
        <v>108942.59</v>
      </c>
      <c r="H71" s="308"/>
      <c r="I71" s="309"/>
      <c r="K71" s="19"/>
      <c r="L71" s="101" t="s">
        <v>242</v>
      </c>
      <c r="M71" s="102"/>
      <c r="N71" s="102"/>
      <c r="O71" s="102"/>
      <c r="P71" s="102"/>
      <c r="Q71" s="307">
        <v>212767.34</v>
      </c>
      <c r="R71" s="308"/>
      <c r="S71" s="309"/>
    </row>
    <row r="72" spans="1:19" ht="25.5" customHeight="1" thickBot="1" x14ac:dyDescent="0.3">
      <c r="A72" s="19"/>
      <c r="B72" s="106" t="s">
        <v>444</v>
      </c>
      <c r="C72" s="107"/>
      <c r="D72" s="107"/>
      <c r="E72" s="107"/>
      <c r="F72" s="107"/>
      <c r="G72" s="307">
        <v>54227.11</v>
      </c>
      <c r="H72" s="308"/>
      <c r="I72" s="309"/>
      <c r="J72" s="61"/>
      <c r="K72" s="19"/>
      <c r="L72" s="106" t="s">
        <v>444</v>
      </c>
      <c r="M72" s="107"/>
      <c r="N72" s="107"/>
      <c r="O72" s="107"/>
      <c r="P72" s="107"/>
      <c r="Q72" s="307">
        <v>19969.080000000002</v>
      </c>
      <c r="R72" s="308"/>
      <c r="S72" s="309"/>
    </row>
    <row r="73" spans="1:19" x14ac:dyDescent="0.25">
      <c r="A73" s="4"/>
      <c r="B73" s="26"/>
      <c r="C73" s="26"/>
      <c r="D73" s="26"/>
      <c r="E73" s="26"/>
      <c r="F73" s="26"/>
      <c r="G73" s="27"/>
      <c r="H73" s="3"/>
      <c r="I73" s="3"/>
      <c r="K73" s="4"/>
      <c r="L73" s="26"/>
      <c r="M73" s="26"/>
      <c r="N73" s="26"/>
      <c r="O73" s="26"/>
      <c r="P73" s="26"/>
      <c r="Q73" s="27"/>
      <c r="R73" s="3"/>
      <c r="S73" s="3"/>
    </row>
    <row r="74" spans="1:19" x14ac:dyDescent="0.25">
      <c r="E74" s="50"/>
      <c r="I74" s="5"/>
      <c r="O74" s="50"/>
      <c r="S74" s="5"/>
    </row>
    <row r="75" spans="1:19" x14ac:dyDescent="0.25">
      <c r="A75" s="3"/>
      <c r="I75" s="5"/>
      <c r="K75" s="3"/>
      <c r="S75" s="5"/>
    </row>
    <row r="76" spans="1:19" ht="15.75" x14ac:dyDescent="0.25">
      <c r="C76" s="30"/>
      <c r="K76" s="30"/>
      <c r="N76" s="30"/>
    </row>
    <row r="77" spans="1:19" ht="15.75" x14ac:dyDescent="0.25">
      <c r="A77" s="30"/>
      <c r="C77" s="30"/>
      <c r="K77" s="30"/>
      <c r="N77" s="30"/>
    </row>
    <row r="78" spans="1:19" ht="15.75" x14ac:dyDescent="0.25">
      <c r="A78" s="30"/>
      <c r="C78" s="30"/>
      <c r="K78" s="30"/>
      <c r="N78" s="30"/>
    </row>
    <row r="79" spans="1:19" x14ac:dyDescent="0.25">
      <c r="A79" s="3"/>
      <c r="B79" s="3"/>
      <c r="C79" s="3"/>
      <c r="D79" s="3"/>
      <c r="E79" s="4" t="s">
        <v>204</v>
      </c>
      <c r="F79" s="3"/>
      <c r="G79" s="3"/>
      <c r="H79" s="3"/>
      <c r="I79" s="3"/>
      <c r="K79" s="3"/>
      <c r="L79" s="3"/>
      <c r="M79" s="3"/>
      <c r="N79" s="3"/>
      <c r="O79" s="4" t="s">
        <v>204</v>
      </c>
      <c r="P79" s="3"/>
      <c r="Q79" s="3"/>
      <c r="R79" s="3"/>
      <c r="S79" s="3"/>
    </row>
    <row r="80" spans="1:19" x14ac:dyDescent="0.25">
      <c r="A80" s="3" t="s">
        <v>205</v>
      </c>
      <c r="B80" s="3"/>
      <c r="C80" s="3"/>
      <c r="D80" s="3" t="s">
        <v>407</v>
      </c>
      <c r="E80" s="3"/>
      <c r="F80" s="3"/>
      <c r="G80" s="3"/>
      <c r="H80" s="3"/>
      <c r="I80" s="3"/>
      <c r="K80" s="3" t="s">
        <v>205</v>
      </c>
      <c r="L80" s="3"/>
      <c r="M80" s="3"/>
      <c r="N80" s="3" t="s">
        <v>408</v>
      </c>
      <c r="O80" s="3"/>
      <c r="P80" s="3"/>
      <c r="Q80" s="3"/>
      <c r="R80" s="3"/>
      <c r="S80" s="3"/>
    </row>
    <row r="81" spans="1:19" x14ac:dyDescent="0.25">
      <c r="A81" s="3"/>
      <c r="B81" s="5" t="s">
        <v>440</v>
      </c>
      <c r="C81" s="3"/>
      <c r="D81" s="3"/>
      <c r="E81" s="3"/>
      <c r="F81" s="3"/>
      <c r="G81" s="3"/>
      <c r="H81" s="3"/>
      <c r="I81" s="3"/>
      <c r="J81" s="3"/>
      <c r="K81" s="3"/>
      <c r="L81" s="5" t="s">
        <v>440</v>
      </c>
      <c r="M81" s="3"/>
      <c r="N81" s="3"/>
      <c r="O81" s="3"/>
      <c r="P81" s="3"/>
      <c r="Q81" s="3"/>
      <c r="R81" s="3"/>
      <c r="S81" s="3"/>
    </row>
    <row r="82" spans="1:19" ht="15.75" thickBot="1" x14ac:dyDescent="0.3">
      <c r="A82" s="3"/>
      <c r="B82" s="5" t="s">
        <v>206</v>
      </c>
      <c r="C82" s="3"/>
      <c r="D82" s="3"/>
      <c r="E82" s="3"/>
      <c r="F82" s="3">
        <v>3115.4</v>
      </c>
      <c r="G82" s="3" t="s">
        <v>207</v>
      </c>
      <c r="H82" s="3"/>
      <c r="I82" s="3"/>
      <c r="J82" s="3"/>
      <c r="K82" s="3"/>
      <c r="L82" s="5" t="s">
        <v>206</v>
      </c>
      <c r="M82" s="3"/>
      <c r="N82" s="3"/>
      <c r="O82" s="3"/>
      <c r="P82" s="3">
        <v>395.7</v>
      </c>
      <c r="Q82" s="3" t="s">
        <v>207</v>
      </c>
      <c r="R82" s="3"/>
      <c r="S82" s="3"/>
    </row>
    <row r="83" spans="1:19" ht="15" customHeight="1" x14ac:dyDescent="0.25">
      <c r="A83" s="175" t="s">
        <v>209</v>
      </c>
      <c r="B83" s="177" t="s">
        <v>210</v>
      </c>
      <c r="C83" s="178"/>
      <c r="D83" s="178"/>
      <c r="E83" s="178"/>
      <c r="F83" s="178"/>
      <c r="G83" s="180" t="s">
        <v>442</v>
      </c>
      <c r="H83" s="181"/>
      <c r="I83" s="175" t="s">
        <v>212</v>
      </c>
      <c r="J83" s="31"/>
      <c r="K83" s="175" t="s">
        <v>209</v>
      </c>
      <c r="L83" s="177" t="s">
        <v>210</v>
      </c>
      <c r="M83" s="178"/>
      <c r="N83" s="178"/>
      <c r="O83" s="178"/>
      <c r="P83" s="178"/>
      <c r="Q83" s="180" t="s">
        <v>442</v>
      </c>
      <c r="R83" s="181"/>
      <c r="S83" s="175" t="s">
        <v>212</v>
      </c>
    </row>
    <row r="84" spans="1:19" ht="75" customHeight="1" thickBot="1" x14ac:dyDescent="0.3">
      <c r="A84" s="176"/>
      <c r="B84" s="179"/>
      <c r="C84" s="179"/>
      <c r="D84" s="179"/>
      <c r="E84" s="179"/>
      <c r="F84" s="179"/>
      <c r="G84" s="182"/>
      <c r="H84" s="183"/>
      <c r="I84" s="184"/>
      <c r="J84" s="32"/>
      <c r="K84" s="176"/>
      <c r="L84" s="179"/>
      <c r="M84" s="179"/>
      <c r="N84" s="179"/>
      <c r="O84" s="179"/>
      <c r="P84" s="179"/>
      <c r="Q84" s="182"/>
      <c r="R84" s="183"/>
      <c r="S84" s="184"/>
    </row>
    <row r="85" spans="1:19" ht="15" customHeight="1" x14ac:dyDescent="0.25">
      <c r="A85" s="185" t="s">
        <v>213</v>
      </c>
      <c r="B85" s="187" t="s">
        <v>354</v>
      </c>
      <c r="C85" s="188"/>
      <c r="D85" s="188"/>
      <c r="E85" s="188"/>
      <c r="F85" s="188"/>
      <c r="G85" s="190">
        <v>50996.18</v>
      </c>
      <c r="H85" s="191"/>
      <c r="I85" s="192"/>
      <c r="J85" s="33"/>
      <c r="K85" s="185" t="s">
        <v>213</v>
      </c>
      <c r="L85" s="187" t="s">
        <v>354</v>
      </c>
      <c r="M85" s="188"/>
      <c r="N85" s="188"/>
      <c r="O85" s="188"/>
      <c r="P85" s="188"/>
      <c r="Q85" s="190">
        <v>-498.15</v>
      </c>
      <c r="R85" s="191"/>
      <c r="S85" s="192"/>
    </row>
    <row r="86" spans="1:19" ht="5.25" customHeight="1" thickBot="1" x14ac:dyDescent="0.3">
      <c r="A86" s="186"/>
      <c r="B86" s="189"/>
      <c r="C86" s="189"/>
      <c r="D86" s="189"/>
      <c r="E86" s="189"/>
      <c r="F86" s="189"/>
      <c r="G86" s="193"/>
      <c r="H86" s="194"/>
      <c r="I86" s="128"/>
      <c r="J86" s="34"/>
      <c r="K86" s="186"/>
      <c r="L86" s="189"/>
      <c r="M86" s="189"/>
      <c r="N86" s="189"/>
      <c r="O86" s="189"/>
      <c r="P86" s="189"/>
      <c r="Q86" s="193"/>
      <c r="R86" s="194"/>
      <c r="S86" s="128"/>
    </row>
    <row r="87" spans="1:19" ht="15" customHeight="1" x14ac:dyDescent="0.25">
      <c r="A87" s="6"/>
      <c r="B87" s="161" t="s">
        <v>214</v>
      </c>
      <c r="C87" s="162"/>
      <c r="D87" s="162"/>
      <c r="E87" s="162"/>
      <c r="F87" s="162"/>
      <c r="G87" s="163">
        <f>1.12*12*F82</f>
        <v>41870.976000000002</v>
      </c>
      <c r="H87" s="164"/>
      <c r="I87" s="169" t="s">
        <v>215</v>
      </c>
      <c r="J87" s="35"/>
      <c r="K87" s="6"/>
      <c r="L87" s="161" t="s">
        <v>214</v>
      </c>
      <c r="M87" s="162"/>
      <c r="N87" s="162"/>
      <c r="O87" s="162"/>
      <c r="P87" s="162"/>
      <c r="Q87" s="163">
        <f>1.1*12*P82</f>
        <v>5223.2400000000007</v>
      </c>
      <c r="R87" s="164"/>
      <c r="S87" s="169" t="s">
        <v>215</v>
      </c>
    </row>
    <row r="88" spans="1:19" ht="50.25" customHeight="1" thickBot="1" x14ac:dyDescent="0.3">
      <c r="A88" s="7"/>
      <c r="B88" s="171" t="s">
        <v>216</v>
      </c>
      <c r="C88" s="172"/>
      <c r="D88" s="172"/>
      <c r="E88" s="172"/>
      <c r="F88" s="172"/>
      <c r="G88" s="165"/>
      <c r="H88" s="166"/>
      <c r="I88" s="170"/>
      <c r="J88" s="36"/>
      <c r="K88" s="7"/>
      <c r="L88" s="171" t="s">
        <v>216</v>
      </c>
      <c r="M88" s="172"/>
      <c r="N88" s="172"/>
      <c r="O88" s="172"/>
      <c r="P88" s="172"/>
      <c r="Q88" s="165"/>
      <c r="R88" s="166"/>
      <c r="S88" s="170"/>
    </row>
    <row r="89" spans="1:19" ht="13.5" customHeight="1" thickBot="1" x14ac:dyDescent="0.3">
      <c r="A89" s="7"/>
      <c r="B89" s="173" t="s">
        <v>217</v>
      </c>
      <c r="C89" s="174"/>
      <c r="D89" s="174"/>
      <c r="E89" s="174"/>
      <c r="F89" s="174"/>
      <c r="G89" s="167"/>
      <c r="H89" s="168"/>
      <c r="I89" s="8" t="s">
        <v>218</v>
      </c>
      <c r="J89" s="36"/>
      <c r="K89" s="7"/>
      <c r="L89" s="173" t="s">
        <v>217</v>
      </c>
      <c r="M89" s="174"/>
      <c r="N89" s="174"/>
      <c r="O89" s="174"/>
      <c r="P89" s="174"/>
      <c r="Q89" s="167"/>
      <c r="R89" s="168"/>
      <c r="S89" s="8" t="s">
        <v>218</v>
      </c>
    </row>
    <row r="90" spans="1:19" ht="13.5" customHeight="1" thickBot="1" x14ac:dyDescent="0.3">
      <c r="A90" s="7"/>
      <c r="B90" s="141" t="s">
        <v>219</v>
      </c>
      <c r="C90" s="142"/>
      <c r="D90" s="142"/>
      <c r="E90" s="142"/>
      <c r="F90" s="142"/>
      <c r="G90" s="143">
        <v>0</v>
      </c>
      <c r="H90" s="144"/>
      <c r="I90" s="8" t="s">
        <v>220</v>
      </c>
      <c r="J90" s="37"/>
      <c r="K90" s="7"/>
      <c r="L90" s="141" t="s">
        <v>219</v>
      </c>
      <c r="M90" s="142"/>
      <c r="N90" s="142"/>
      <c r="O90" s="142"/>
      <c r="P90" s="142"/>
      <c r="Q90" s="143">
        <v>0</v>
      </c>
      <c r="R90" s="144"/>
      <c r="S90" s="8" t="s">
        <v>220</v>
      </c>
    </row>
    <row r="91" spans="1:19" ht="13.5" customHeight="1" thickBot="1" x14ac:dyDescent="0.3">
      <c r="A91" s="7"/>
      <c r="B91" s="141" t="s">
        <v>221</v>
      </c>
      <c r="C91" s="142"/>
      <c r="D91" s="142"/>
      <c r="E91" s="142"/>
      <c r="F91" s="142"/>
      <c r="G91" s="143">
        <f>0.25*12*F82</f>
        <v>9346.2000000000007</v>
      </c>
      <c r="H91" s="144"/>
      <c r="I91" s="8" t="s">
        <v>222</v>
      </c>
      <c r="J91" s="38"/>
      <c r="K91" s="7"/>
      <c r="L91" s="141" t="s">
        <v>221</v>
      </c>
      <c r="M91" s="142"/>
      <c r="N91" s="142"/>
      <c r="O91" s="142"/>
      <c r="P91" s="142"/>
      <c r="Q91" s="143">
        <f>0.3*12*P82</f>
        <v>1424.5199999999998</v>
      </c>
      <c r="R91" s="144"/>
      <c r="S91" s="8" t="s">
        <v>222</v>
      </c>
    </row>
    <row r="92" spans="1:19" ht="13.5" customHeight="1" x14ac:dyDescent="0.25">
      <c r="A92" s="9"/>
      <c r="B92" s="145" t="s">
        <v>223</v>
      </c>
      <c r="C92" s="146"/>
      <c r="D92" s="146"/>
      <c r="E92" s="146"/>
      <c r="F92" s="146"/>
      <c r="G92" s="86">
        <f>1.5*12*F82</f>
        <v>56077.200000000004</v>
      </c>
      <c r="H92" s="147"/>
      <c r="I92" s="152" t="s">
        <v>224</v>
      </c>
      <c r="J92" s="38"/>
      <c r="K92" s="9"/>
      <c r="L92" s="145" t="s">
        <v>223</v>
      </c>
      <c r="M92" s="146"/>
      <c r="N92" s="146"/>
      <c r="O92" s="146"/>
      <c r="P92" s="146"/>
      <c r="Q92" s="86">
        <f>1.69*12*P82</f>
        <v>8024.7960000000003</v>
      </c>
      <c r="R92" s="147"/>
      <c r="S92" s="152" t="s">
        <v>224</v>
      </c>
    </row>
    <row r="93" spans="1:19" ht="13.5" customHeight="1" x14ac:dyDescent="0.25">
      <c r="A93" s="10"/>
      <c r="B93" s="155" t="s">
        <v>226</v>
      </c>
      <c r="C93" s="156"/>
      <c r="D93" s="156"/>
      <c r="E93" s="156"/>
      <c r="F93" s="156"/>
      <c r="G93" s="148"/>
      <c r="H93" s="149"/>
      <c r="I93" s="153"/>
      <c r="J93" s="39"/>
      <c r="K93" s="10"/>
      <c r="L93" s="155" t="s">
        <v>226</v>
      </c>
      <c r="M93" s="156"/>
      <c r="N93" s="156"/>
      <c r="O93" s="156"/>
      <c r="P93" s="156"/>
      <c r="Q93" s="148"/>
      <c r="R93" s="149"/>
      <c r="S93" s="153"/>
    </row>
    <row r="94" spans="1:19" ht="13.5" customHeight="1" thickBot="1" x14ac:dyDescent="0.3">
      <c r="A94" s="10"/>
      <c r="B94" s="157" t="s">
        <v>227</v>
      </c>
      <c r="C94" s="158"/>
      <c r="D94" s="158"/>
      <c r="E94" s="158"/>
      <c r="F94" s="158"/>
      <c r="G94" s="148"/>
      <c r="H94" s="149"/>
      <c r="I94" s="154"/>
      <c r="J94" s="36"/>
      <c r="K94" s="10"/>
      <c r="L94" s="157" t="s">
        <v>227</v>
      </c>
      <c r="M94" s="158"/>
      <c r="N94" s="158"/>
      <c r="O94" s="158"/>
      <c r="P94" s="158"/>
      <c r="Q94" s="148"/>
      <c r="R94" s="149"/>
      <c r="S94" s="154"/>
    </row>
    <row r="95" spans="1:19" ht="13.5" customHeight="1" thickBot="1" x14ac:dyDescent="0.3">
      <c r="A95" s="10"/>
      <c r="B95" s="159" t="s">
        <v>228</v>
      </c>
      <c r="C95" s="160"/>
      <c r="D95" s="160"/>
      <c r="E95" s="160"/>
      <c r="F95" s="160"/>
      <c r="G95" s="150"/>
      <c r="H95" s="151"/>
      <c r="I95" s="11" t="s">
        <v>229</v>
      </c>
      <c r="J95" s="36"/>
      <c r="K95" s="10"/>
      <c r="L95" s="159" t="s">
        <v>228</v>
      </c>
      <c r="M95" s="160"/>
      <c r="N95" s="160"/>
      <c r="O95" s="160"/>
      <c r="P95" s="160"/>
      <c r="Q95" s="150"/>
      <c r="R95" s="151"/>
      <c r="S95" s="11" t="s">
        <v>229</v>
      </c>
    </row>
    <row r="96" spans="1:19" ht="13.5" customHeight="1" x14ac:dyDescent="0.25">
      <c r="A96" s="12"/>
      <c r="B96" s="125" t="s">
        <v>230</v>
      </c>
      <c r="C96" s="126"/>
      <c r="D96" s="126"/>
      <c r="E96" s="126"/>
      <c r="F96" s="126"/>
      <c r="G96" s="86">
        <f>0.02*12*F82</f>
        <v>747.69600000000003</v>
      </c>
      <c r="H96" s="87"/>
      <c r="I96" s="129" t="s">
        <v>220</v>
      </c>
      <c r="J96" s="36"/>
      <c r="K96" s="12"/>
      <c r="L96" s="125" t="s">
        <v>230</v>
      </c>
      <c r="M96" s="126"/>
      <c r="N96" s="126"/>
      <c r="O96" s="126"/>
      <c r="P96" s="126"/>
      <c r="Q96" s="86">
        <v>0</v>
      </c>
      <c r="R96" s="87"/>
      <c r="S96" s="129" t="s">
        <v>220</v>
      </c>
    </row>
    <row r="97" spans="1:19" ht="13.5" customHeight="1" thickBot="1" x14ac:dyDescent="0.3">
      <c r="A97" s="7"/>
      <c r="B97" s="131" t="s">
        <v>231</v>
      </c>
      <c r="C97" s="132"/>
      <c r="D97" s="132"/>
      <c r="E97" s="132"/>
      <c r="F97" s="132"/>
      <c r="G97" s="127"/>
      <c r="H97" s="128"/>
      <c r="I97" s="130"/>
      <c r="J97" s="36"/>
      <c r="K97" s="7"/>
      <c r="L97" s="131" t="s">
        <v>231</v>
      </c>
      <c r="M97" s="132"/>
      <c r="N97" s="132"/>
      <c r="O97" s="132"/>
      <c r="P97" s="132"/>
      <c r="Q97" s="127"/>
      <c r="R97" s="128"/>
      <c r="S97" s="130"/>
    </row>
    <row r="98" spans="1:19" ht="13.5" customHeight="1" thickBot="1" x14ac:dyDescent="0.3">
      <c r="A98" s="13"/>
      <c r="B98" s="133" t="s">
        <v>232</v>
      </c>
      <c r="C98" s="134"/>
      <c r="D98" s="134"/>
      <c r="E98" s="134"/>
      <c r="F98" s="134"/>
      <c r="G98" s="135"/>
      <c r="H98" s="136"/>
      <c r="I98" s="14"/>
      <c r="J98" s="40"/>
      <c r="K98" s="13"/>
      <c r="L98" s="133" t="s">
        <v>232</v>
      </c>
      <c r="M98" s="134"/>
      <c r="N98" s="134"/>
      <c r="O98" s="134"/>
      <c r="P98" s="134"/>
      <c r="Q98" s="135"/>
      <c r="R98" s="136"/>
      <c r="S98" s="14"/>
    </row>
    <row r="99" spans="1:19" ht="32.25" customHeight="1" thickBot="1" x14ac:dyDescent="0.3">
      <c r="A99" s="13"/>
      <c r="B99" s="84" t="s">
        <v>233</v>
      </c>
      <c r="C99" s="85"/>
      <c r="D99" s="85"/>
      <c r="E99" s="85"/>
      <c r="F99" s="85"/>
      <c r="G99" s="86">
        <f>1.19*12*F82</f>
        <v>44487.911999999997</v>
      </c>
      <c r="H99" s="87"/>
      <c r="I99" s="92" t="s">
        <v>647</v>
      </c>
      <c r="J99" s="41"/>
      <c r="K99" s="13"/>
      <c r="L99" s="84" t="s">
        <v>233</v>
      </c>
      <c r="M99" s="85"/>
      <c r="N99" s="85"/>
      <c r="O99" s="85"/>
      <c r="P99" s="85"/>
      <c r="Q99" s="86">
        <f>1.39*12*P82</f>
        <v>6600.2759999999998</v>
      </c>
      <c r="R99" s="87"/>
      <c r="S99" s="320" t="s">
        <v>648</v>
      </c>
    </row>
    <row r="100" spans="1:19" ht="40.5" customHeight="1" x14ac:dyDescent="0.25">
      <c r="A100" s="118"/>
      <c r="B100" s="121" t="s">
        <v>226</v>
      </c>
      <c r="C100" s="122"/>
      <c r="D100" s="122"/>
      <c r="E100" s="122"/>
      <c r="F100" s="122"/>
      <c r="G100" s="88"/>
      <c r="H100" s="89"/>
      <c r="I100" s="93"/>
      <c r="J100" s="41"/>
      <c r="K100" s="118"/>
      <c r="L100" s="121" t="s">
        <v>226</v>
      </c>
      <c r="M100" s="122"/>
      <c r="N100" s="122"/>
      <c r="O100" s="122"/>
      <c r="P100" s="122"/>
      <c r="Q100" s="88"/>
      <c r="R100" s="89"/>
      <c r="S100" s="321"/>
    </row>
    <row r="101" spans="1:19" ht="43.5" customHeight="1" x14ac:dyDescent="0.25">
      <c r="A101" s="119"/>
      <c r="B101" s="121" t="s">
        <v>227</v>
      </c>
      <c r="C101" s="122"/>
      <c r="D101" s="122"/>
      <c r="E101" s="122"/>
      <c r="F101" s="122"/>
      <c r="G101" s="88"/>
      <c r="H101" s="89"/>
      <c r="I101" s="93"/>
      <c r="J101" s="41"/>
      <c r="K101" s="119"/>
      <c r="L101" s="121" t="s">
        <v>227</v>
      </c>
      <c r="M101" s="122"/>
      <c r="N101" s="122"/>
      <c r="O101" s="122"/>
      <c r="P101" s="122"/>
      <c r="Q101" s="88"/>
      <c r="R101" s="89"/>
      <c r="S101" s="321"/>
    </row>
    <row r="102" spans="1:19" ht="45" customHeight="1" x14ac:dyDescent="0.25">
      <c r="A102" s="119"/>
      <c r="B102" s="121" t="s">
        <v>228</v>
      </c>
      <c r="C102" s="122"/>
      <c r="D102" s="122"/>
      <c r="E102" s="122"/>
      <c r="F102" s="122"/>
      <c r="G102" s="88"/>
      <c r="H102" s="89"/>
      <c r="I102" s="93"/>
      <c r="J102" s="42"/>
      <c r="K102" s="119"/>
      <c r="L102" s="121" t="s">
        <v>228</v>
      </c>
      <c r="M102" s="122"/>
      <c r="N102" s="122"/>
      <c r="O102" s="122"/>
      <c r="P102" s="122"/>
      <c r="Q102" s="88"/>
      <c r="R102" s="89"/>
      <c r="S102" s="321"/>
    </row>
    <row r="103" spans="1:19" ht="51.75" customHeight="1" thickBot="1" x14ac:dyDescent="0.3">
      <c r="A103" s="120"/>
      <c r="B103" s="123" t="s">
        <v>234</v>
      </c>
      <c r="C103" s="124"/>
      <c r="D103" s="124"/>
      <c r="E103" s="124"/>
      <c r="F103" s="124"/>
      <c r="G103" s="90"/>
      <c r="H103" s="91"/>
      <c r="I103" s="94"/>
      <c r="J103" s="43"/>
      <c r="K103" s="120"/>
      <c r="L103" s="123" t="s">
        <v>234</v>
      </c>
      <c r="M103" s="124"/>
      <c r="N103" s="124"/>
      <c r="O103" s="124"/>
      <c r="P103" s="124"/>
      <c r="Q103" s="90"/>
      <c r="R103" s="91"/>
      <c r="S103" s="322"/>
    </row>
    <row r="104" spans="1:19" ht="4.5" customHeight="1" thickBot="1" x14ac:dyDescent="0.3">
      <c r="A104" s="15"/>
      <c r="B104" s="137" t="s">
        <v>248</v>
      </c>
      <c r="C104" s="138"/>
      <c r="D104" s="138"/>
      <c r="E104" s="138"/>
      <c r="F104" s="138"/>
      <c r="G104" s="139"/>
      <c r="H104" s="140"/>
      <c r="I104" s="16"/>
      <c r="J104" s="44"/>
      <c r="K104" s="15"/>
      <c r="L104" s="137" t="s">
        <v>248</v>
      </c>
      <c r="M104" s="138"/>
      <c r="N104" s="138"/>
      <c r="O104" s="138"/>
      <c r="P104" s="138"/>
      <c r="Q104" s="139"/>
      <c r="R104" s="140"/>
      <c r="S104" s="16"/>
    </row>
    <row r="105" spans="1:19" ht="37.5" hidden="1" customHeight="1" x14ac:dyDescent="0.25">
      <c r="A105" s="15"/>
      <c r="B105" s="137" t="s">
        <v>235</v>
      </c>
      <c r="C105" s="138"/>
      <c r="D105" s="138"/>
      <c r="E105" s="138"/>
      <c r="F105" s="138"/>
      <c r="G105" s="139"/>
      <c r="H105" s="140"/>
      <c r="I105" s="16"/>
      <c r="J105" s="40"/>
      <c r="K105" s="15"/>
      <c r="L105" s="137" t="s">
        <v>235</v>
      </c>
      <c r="M105" s="138"/>
      <c r="N105" s="138"/>
      <c r="O105" s="138"/>
      <c r="P105" s="138"/>
      <c r="Q105" s="139"/>
      <c r="R105" s="140"/>
      <c r="S105" s="16"/>
    </row>
    <row r="106" spans="1:19" ht="36" customHeight="1" thickBot="1" x14ac:dyDescent="0.3">
      <c r="A106" s="17"/>
      <c r="B106" s="78" t="s">
        <v>237</v>
      </c>
      <c r="C106" s="79"/>
      <c r="D106" s="79"/>
      <c r="E106" s="79"/>
      <c r="F106" s="79"/>
      <c r="G106" s="86">
        <v>20353</v>
      </c>
      <c r="H106" s="87"/>
      <c r="I106" s="108" t="s">
        <v>229</v>
      </c>
      <c r="J106" s="27"/>
      <c r="K106" s="17"/>
      <c r="L106" s="78" t="s">
        <v>237</v>
      </c>
      <c r="M106" s="79"/>
      <c r="N106" s="79"/>
      <c r="O106" s="79"/>
      <c r="P106" s="79"/>
      <c r="Q106" s="86">
        <v>1095</v>
      </c>
      <c r="R106" s="87"/>
      <c r="S106" s="108" t="s">
        <v>229</v>
      </c>
    </row>
    <row r="107" spans="1:19" ht="15" customHeight="1" thickBot="1" x14ac:dyDescent="0.3">
      <c r="A107" s="18"/>
      <c r="B107" s="110" t="s">
        <v>238</v>
      </c>
      <c r="C107" s="111"/>
      <c r="D107" s="111"/>
      <c r="E107" s="111"/>
      <c r="F107" s="111"/>
      <c r="G107" s="90"/>
      <c r="H107" s="91"/>
      <c r="I107" s="109"/>
      <c r="J107" s="45"/>
      <c r="K107" s="18"/>
      <c r="L107" s="110" t="s">
        <v>238</v>
      </c>
      <c r="M107" s="111"/>
      <c r="N107" s="111"/>
      <c r="O107" s="111"/>
      <c r="P107" s="111"/>
      <c r="Q107" s="90"/>
      <c r="R107" s="91"/>
      <c r="S107" s="109"/>
    </row>
    <row r="108" spans="1:19" ht="27.75" customHeight="1" thickBot="1" x14ac:dyDescent="0.3">
      <c r="A108" s="19"/>
      <c r="B108" s="112" t="s">
        <v>239</v>
      </c>
      <c r="C108" s="113"/>
      <c r="D108" s="113"/>
      <c r="E108" s="113"/>
      <c r="F108" s="113"/>
      <c r="G108" s="114">
        <f>SUM(G87:H107)</f>
        <v>172882.984</v>
      </c>
      <c r="H108" s="115"/>
      <c r="I108" s="20"/>
      <c r="J108" s="46"/>
      <c r="K108" s="19"/>
      <c r="L108" s="112" t="s">
        <v>239</v>
      </c>
      <c r="M108" s="113"/>
      <c r="N108" s="113"/>
      <c r="O108" s="113"/>
      <c r="P108" s="113"/>
      <c r="Q108" s="114">
        <f>SUM(Q87:R107)</f>
        <v>22367.832000000002</v>
      </c>
      <c r="R108" s="115"/>
      <c r="S108" s="20"/>
    </row>
    <row r="109" spans="1:19" ht="27.75" customHeight="1" thickBot="1" x14ac:dyDescent="0.3">
      <c r="A109" s="21"/>
      <c r="B109" s="101" t="s">
        <v>240</v>
      </c>
      <c r="C109" s="102"/>
      <c r="D109" s="102"/>
      <c r="E109" s="102"/>
      <c r="F109" s="102"/>
      <c r="G109" s="116">
        <f>G108*1.2</f>
        <v>207459.5808</v>
      </c>
      <c r="H109" s="117"/>
      <c r="I109" s="22"/>
      <c r="J109" s="47"/>
      <c r="K109" s="21"/>
      <c r="L109" s="101" t="s">
        <v>240</v>
      </c>
      <c r="M109" s="102"/>
      <c r="N109" s="102"/>
      <c r="O109" s="102"/>
      <c r="P109" s="102"/>
      <c r="Q109" s="116">
        <f>Q108*1.2</f>
        <v>26841.398400000002</v>
      </c>
      <c r="R109" s="117"/>
      <c r="S109" s="22"/>
    </row>
    <row r="110" spans="1:19" ht="27.75" customHeight="1" thickBot="1" x14ac:dyDescent="0.3">
      <c r="A110" s="24"/>
      <c r="B110" s="96" t="s">
        <v>443</v>
      </c>
      <c r="C110" s="97"/>
      <c r="D110" s="97"/>
      <c r="E110" s="97"/>
      <c r="F110" s="97"/>
      <c r="G110" s="311">
        <v>207588.19</v>
      </c>
      <c r="H110" s="312"/>
      <c r="I110" s="313"/>
      <c r="J110" s="47"/>
      <c r="K110" s="24"/>
      <c r="L110" s="96" t="s">
        <v>443</v>
      </c>
      <c r="M110" s="97"/>
      <c r="N110" s="97"/>
      <c r="O110" s="97"/>
      <c r="P110" s="97"/>
      <c r="Q110" s="311">
        <v>27619</v>
      </c>
      <c r="R110" s="312"/>
      <c r="S110" s="313"/>
    </row>
    <row r="111" spans="1:19" ht="27.75" customHeight="1" thickBot="1" x14ac:dyDescent="0.3">
      <c r="A111" s="19"/>
      <c r="B111" s="101" t="s">
        <v>242</v>
      </c>
      <c r="C111" s="102"/>
      <c r="D111" s="102"/>
      <c r="E111" s="102"/>
      <c r="F111" s="102"/>
      <c r="G111" s="307">
        <v>214883.79</v>
      </c>
      <c r="H111" s="308"/>
      <c r="I111" s="309"/>
      <c r="J111" s="47"/>
      <c r="K111" s="19"/>
      <c r="L111" s="101" t="s">
        <v>242</v>
      </c>
      <c r="M111" s="102"/>
      <c r="N111" s="102"/>
      <c r="O111" s="102"/>
      <c r="P111" s="102"/>
      <c r="Q111" s="307">
        <v>25883.96</v>
      </c>
      <c r="R111" s="308"/>
      <c r="S111" s="309"/>
    </row>
    <row r="112" spans="1:19" ht="27.75" customHeight="1" thickBot="1" x14ac:dyDescent="0.3">
      <c r="A112" s="19"/>
      <c r="B112" s="106" t="s">
        <v>444</v>
      </c>
      <c r="C112" s="107"/>
      <c r="D112" s="107"/>
      <c r="E112" s="107"/>
      <c r="F112" s="107"/>
      <c r="G112" s="307">
        <v>43700.58</v>
      </c>
      <c r="H112" s="308"/>
      <c r="I112" s="309"/>
      <c r="J112" s="47"/>
      <c r="K112" s="19"/>
      <c r="L112" s="106" t="s">
        <v>444</v>
      </c>
      <c r="M112" s="107"/>
      <c r="N112" s="107"/>
      <c r="O112" s="107"/>
      <c r="P112" s="107"/>
      <c r="Q112" s="307">
        <v>1236.8900000000001</v>
      </c>
      <c r="R112" s="308"/>
      <c r="S112" s="309"/>
    </row>
    <row r="113" spans="1:19" ht="33" customHeight="1" x14ac:dyDescent="0.25">
      <c r="A113" s="4"/>
      <c r="B113" s="26"/>
      <c r="C113" s="195"/>
      <c r="D113" s="162"/>
      <c r="E113" s="162"/>
      <c r="F113" s="162"/>
      <c r="G113" s="162"/>
      <c r="H113" s="162"/>
      <c r="I113" s="162"/>
      <c r="K113" s="4"/>
      <c r="L113" s="339"/>
      <c r="M113" s="339"/>
      <c r="N113" s="339"/>
      <c r="O113" s="339"/>
      <c r="P113" s="339"/>
      <c r="Q113" s="339"/>
      <c r="R113" s="339"/>
      <c r="S113" s="339"/>
    </row>
    <row r="114" spans="1:19" x14ac:dyDescent="0.25">
      <c r="E114" s="50"/>
      <c r="I114" s="5"/>
      <c r="O114" s="50"/>
      <c r="S114" s="5"/>
    </row>
    <row r="115" spans="1:19" x14ac:dyDescent="0.25">
      <c r="A115" s="3"/>
      <c r="I115" s="5"/>
      <c r="K115" s="3"/>
      <c r="S115" s="5"/>
    </row>
    <row r="116" spans="1:19" ht="15.75" x14ac:dyDescent="0.25">
      <c r="B116" s="30"/>
      <c r="K116" s="30"/>
      <c r="L116" s="30"/>
    </row>
    <row r="117" spans="1:19" ht="15.75" x14ac:dyDescent="0.25">
      <c r="B117" s="30"/>
      <c r="K117" s="30"/>
      <c r="L117" s="30"/>
    </row>
    <row r="118" spans="1:19" x14ac:dyDescent="0.25">
      <c r="A118" s="3"/>
      <c r="B118" s="3"/>
      <c r="C118" s="3"/>
      <c r="D118" s="3"/>
      <c r="E118" s="4" t="s">
        <v>204</v>
      </c>
      <c r="F118" s="3"/>
      <c r="G118" s="3"/>
      <c r="H118" s="3"/>
      <c r="I118" s="3"/>
      <c r="K118" s="3"/>
      <c r="L118" s="3"/>
      <c r="M118" s="3"/>
      <c r="N118" s="3"/>
      <c r="O118" s="4" t="s">
        <v>204</v>
      </c>
      <c r="P118" s="3"/>
      <c r="Q118" s="3"/>
      <c r="R118" s="3"/>
      <c r="S118" s="3"/>
    </row>
    <row r="119" spans="1:19" x14ac:dyDescent="0.25">
      <c r="A119" s="3" t="s">
        <v>205</v>
      </c>
      <c r="B119" s="3"/>
      <c r="C119" s="3"/>
      <c r="D119" s="3" t="s">
        <v>409</v>
      </c>
      <c r="E119" s="3"/>
      <c r="F119" s="3"/>
      <c r="G119" s="3"/>
      <c r="H119" s="3"/>
      <c r="I119" s="3"/>
      <c r="K119" s="3" t="s">
        <v>205</v>
      </c>
      <c r="L119" s="3"/>
      <c r="M119" s="3"/>
      <c r="N119" s="3" t="s">
        <v>410</v>
      </c>
      <c r="O119" s="3"/>
      <c r="P119" s="3"/>
      <c r="Q119" s="3"/>
      <c r="R119" s="3"/>
      <c r="S119" s="3"/>
    </row>
    <row r="120" spans="1:19" x14ac:dyDescent="0.25">
      <c r="A120" s="3"/>
      <c r="B120" s="5" t="s">
        <v>440</v>
      </c>
      <c r="C120" s="3"/>
      <c r="D120" s="3"/>
      <c r="E120" s="3"/>
      <c r="F120" s="3"/>
      <c r="G120" s="3"/>
      <c r="H120" s="3"/>
      <c r="I120" s="3"/>
      <c r="K120" s="3"/>
      <c r="L120" s="5" t="s">
        <v>440</v>
      </c>
      <c r="M120" s="3"/>
      <c r="N120" s="3"/>
      <c r="O120" s="3"/>
      <c r="P120" s="3"/>
      <c r="Q120" s="3"/>
      <c r="R120" s="3"/>
      <c r="S120" s="3"/>
    </row>
    <row r="121" spans="1:19" ht="15.75" thickBot="1" x14ac:dyDescent="0.3">
      <c r="A121" s="3"/>
      <c r="B121" s="5" t="s">
        <v>206</v>
      </c>
      <c r="C121" s="3"/>
      <c r="D121" s="3"/>
      <c r="E121" s="3"/>
      <c r="F121" s="3">
        <v>393.8</v>
      </c>
      <c r="G121" s="3" t="s">
        <v>207</v>
      </c>
      <c r="H121" s="3"/>
      <c r="I121" s="3"/>
      <c r="J121" s="3"/>
      <c r="K121" s="3"/>
      <c r="L121" s="5" t="s">
        <v>206</v>
      </c>
      <c r="M121" s="3"/>
      <c r="N121" s="3"/>
      <c r="O121" s="3"/>
      <c r="P121" s="3">
        <v>398.8</v>
      </c>
      <c r="Q121" s="3" t="s">
        <v>207</v>
      </c>
      <c r="R121" s="3"/>
      <c r="S121" s="3"/>
    </row>
    <row r="122" spans="1:19" ht="15.75" customHeight="1" thickBot="1" x14ac:dyDescent="0.3">
      <c r="A122" s="175" t="s">
        <v>209</v>
      </c>
      <c r="B122" s="177" t="s">
        <v>210</v>
      </c>
      <c r="C122" s="178"/>
      <c r="D122" s="178"/>
      <c r="E122" s="178"/>
      <c r="F122" s="178"/>
      <c r="G122" s="180" t="s">
        <v>442</v>
      </c>
      <c r="H122" s="181"/>
      <c r="I122" s="175" t="s">
        <v>212</v>
      </c>
      <c r="J122" s="3"/>
      <c r="K122" s="175" t="s">
        <v>209</v>
      </c>
      <c r="L122" s="177" t="s">
        <v>210</v>
      </c>
      <c r="M122" s="178"/>
      <c r="N122" s="178"/>
      <c r="O122" s="178"/>
      <c r="P122" s="178"/>
      <c r="Q122" s="180" t="s">
        <v>442</v>
      </c>
      <c r="R122" s="181"/>
      <c r="S122" s="175" t="s">
        <v>212</v>
      </c>
    </row>
    <row r="123" spans="1:19" ht="68.25" customHeight="1" thickBot="1" x14ac:dyDescent="0.3">
      <c r="A123" s="176"/>
      <c r="B123" s="179"/>
      <c r="C123" s="179"/>
      <c r="D123" s="179"/>
      <c r="E123" s="179"/>
      <c r="F123" s="179"/>
      <c r="G123" s="182"/>
      <c r="H123" s="183"/>
      <c r="I123" s="184"/>
      <c r="J123" s="31"/>
      <c r="K123" s="176"/>
      <c r="L123" s="179"/>
      <c r="M123" s="179"/>
      <c r="N123" s="179"/>
      <c r="O123" s="179"/>
      <c r="P123" s="179"/>
      <c r="Q123" s="182"/>
      <c r="R123" s="183"/>
      <c r="S123" s="184"/>
    </row>
    <row r="124" spans="1:19" ht="21.75" customHeight="1" thickBot="1" x14ac:dyDescent="0.3">
      <c r="A124" s="185" t="s">
        <v>213</v>
      </c>
      <c r="B124" s="187" t="s">
        <v>354</v>
      </c>
      <c r="C124" s="188"/>
      <c r="D124" s="188"/>
      <c r="E124" s="188"/>
      <c r="F124" s="188"/>
      <c r="G124" s="190">
        <v>2126.66</v>
      </c>
      <c r="H124" s="191"/>
      <c r="I124" s="192"/>
      <c r="J124" s="32"/>
      <c r="K124" s="185" t="s">
        <v>213</v>
      </c>
      <c r="L124" s="187" t="s">
        <v>354</v>
      </c>
      <c r="M124" s="188"/>
      <c r="N124" s="188"/>
      <c r="O124" s="188"/>
      <c r="P124" s="188"/>
      <c r="Q124" s="190">
        <v>2227.66</v>
      </c>
      <c r="R124" s="191"/>
      <c r="S124" s="192"/>
    </row>
    <row r="125" spans="1:19" ht="15.75" hidden="1" customHeight="1" x14ac:dyDescent="0.25">
      <c r="A125" s="186"/>
      <c r="B125" s="189"/>
      <c r="C125" s="189"/>
      <c r="D125" s="189"/>
      <c r="E125" s="189"/>
      <c r="F125" s="189"/>
      <c r="G125" s="193"/>
      <c r="H125" s="194"/>
      <c r="I125" s="128"/>
      <c r="J125" s="33"/>
      <c r="K125" s="186"/>
      <c r="L125" s="189"/>
      <c r="M125" s="189"/>
      <c r="N125" s="189"/>
      <c r="O125" s="189"/>
      <c r="P125" s="189"/>
      <c r="Q125" s="193"/>
      <c r="R125" s="194"/>
      <c r="S125" s="128"/>
    </row>
    <row r="126" spans="1:19" ht="16.5" customHeight="1" x14ac:dyDescent="0.25">
      <c r="A126" s="6"/>
      <c r="B126" s="161" t="s">
        <v>214</v>
      </c>
      <c r="C126" s="162"/>
      <c r="D126" s="162"/>
      <c r="E126" s="162"/>
      <c r="F126" s="162"/>
      <c r="G126" s="163">
        <f>1.25*12*F121</f>
        <v>5907</v>
      </c>
      <c r="H126" s="164"/>
      <c r="I126" s="169" t="s">
        <v>215</v>
      </c>
      <c r="J126" s="36"/>
      <c r="K126" s="6"/>
      <c r="L126" s="161" t="s">
        <v>214</v>
      </c>
      <c r="M126" s="162"/>
      <c r="N126" s="162"/>
      <c r="O126" s="162"/>
      <c r="P126" s="162"/>
      <c r="Q126" s="163">
        <f>1.39*12*P121</f>
        <v>6651.9840000000004</v>
      </c>
      <c r="R126" s="164"/>
      <c r="S126" s="169" t="s">
        <v>215</v>
      </c>
    </row>
    <row r="127" spans="1:19" ht="44.25" customHeight="1" thickBot="1" x14ac:dyDescent="0.3">
      <c r="A127" s="7"/>
      <c r="B127" s="171" t="s">
        <v>216</v>
      </c>
      <c r="C127" s="172"/>
      <c r="D127" s="172"/>
      <c r="E127" s="172"/>
      <c r="F127" s="172"/>
      <c r="G127" s="165"/>
      <c r="H127" s="166"/>
      <c r="I127" s="170"/>
      <c r="J127" s="35"/>
      <c r="K127" s="7"/>
      <c r="L127" s="171" t="s">
        <v>216</v>
      </c>
      <c r="M127" s="172"/>
      <c r="N127" s="172"/>
      <c r="O127" s="172"/>
      <c r="P127" s="172"/>
      <c r="Q127" s="165"/>
      <c r="R127" s="166"/>
      <c r="S127" s="170"/>
    </row>
    <row r="128" spans="1:19" ht="13.5" customHeight="1" thickBot="1" x14ac:dyDescent="0.3">
      <c r="A128" s="7"/>
      <c r="B128" s="173" t="s">
        <v>217</v>
      </c>
      <c r="C128" s="174"/>
      <c r="D128" s="174"/>
      <c r="E128" s="174"/>
      <c r="F128" s="174"/>
      <c r="G128" s="167"/>
      <c r="H128" s="168"/>
      <c r="I128" s="8" t="s">
        <v>218</v>
      </c>
      <c r="J128" s="36"/>
      <c r="K128" s="7"/>
      <c r="L128" s="173" t="s">
        <v>217</v>
      </c>
      <c r="M128" s="174"/>
      <c r="N128" s="174"/>
      <c r="O128" s="174"/>
      <c r="P128" s="174"/>
      <c r="Q128" s="167"/>
      <c r="R128" s="168"/>
      <c r="S128" s="8" t="s">
        <v>218</v>
      </c>
    </row>
    <row r="129" spans="1:19" ht="13.5" customHeight="1" thickBot="1" x14ac:dyDescent="0.3">
      <c r="A129" s="7"/>
      <c r="B129" s="141" t="s">
        <v>219</v>
      </c>
      <c r="C129" s="142"/>
      <c r="D129" s="142"/>
      <c r="E129" s="142"/>
      <c r="F129" s="142"/>
      <c r="G129" s="143">
        <v>0</v>
      </c>
      <c r="H129" s="144"/>
      <c r="I129" s="8" t="s">
        <v>220</v>
      </c>
      <c r="J129" s="36"/>
      <c r="K129" s="7"/>
      <c r="L129" s="141" t="s">
        <v>219</v>
      </c>
      <c r="M129" s="142"/>
      <c r="N129" s="142"/>
      <c r="O129" s="142"/>
      <c r="P129" s="142"/>
      <c r="Q129" s="143">
        <v>0</v>
      </c>
      <c r="R129" s="144"/>
      <c r="S129" s="8" t="s">
        <v>220</v>
      </c>
    </row>
    <row r="130" spans="1:19" ht="16.5" customHeight="1" thickBot="1" x14ac:dyDescent="0.3">
      <c r="A130" s="7"/>
      <c r="B130" s="141" t="s">
        <v>221</v>
      </c>
      <c r="C130" s="142"/>
      <c r="D130" s="142"/>
      <c r="E130" s="142"/>
      <c r="F130" s="142"/>
      <c r="G130" s="143">
        <f>0.3*12*F121</f>
        <v>1417.6799999999998</v>
      </c>
      <c r="H130" s="144"/>
      <c r="I130" s="8" t="s">
        <v>222</v>
      </c>
      <c r="J130" s="37"/>
      <c r="K130" s="7"/>
      <c r="L130" s="141" t="s">
        <v>221</v>
      </c>
      <c r="M130" s="142"/>
      <c r="N130" s="142"/>
      <c r="O130" s="142"/>
      <c r="P130" s="142"/>
      <c r="Q130" s="143">
        <f>0.3*12*P121</f>
        <v>1435.6799999999998</v>
      </c>
      <c r="R130" s="144"/>
      <c r="S130" s="8" t="s">
        <v>222</v>
      </c>
    </row>
    <row r="131" spans="1:19" ht="13.5" customHeight="1" x14ac:dyDescent="0.25">
      <c r="A131" s="9"/>
      <c r="B131" s="145" t="s">
        <v>223</v>
      </c>
      <c r="C131" s="146"/>
      <c r="D131" s="146"/>
      <c r="E131" s="146"/>
      <c r="F131" s="146"/>
      <c r="G131" s="86">
        <f>0.99*12*F121</f>
        <v>4678.3440000000001</v>
      </c>
      <c r="H131" s="147"/>
      <c r="I131" s="152" t="s">
        <v>224</v>
      </c>
      <c r="J131" s="38"/>
      <c r="K131" s="9"/>
      <c r="L131" s="145" t="s">
        <v>223</v>
      </c>
      <c r="M131" s="146"/>
      <c r="N131" s="146"/>
      <c r="O131" s="146"/>
      <c r="P131" s="146"/>
      <c r="Q131" s="86">
        <f>1.79*12*P121</f>
        <v>8566.2240000000002</v>
      </c>
      <c r="R131" s="147"/>
      <c r="S131" s="152" t="s">
        <v>224</v>
      </c>
    </row>
    <row r="132" spans="1:19" ht="13.5" customHeight="1" x14ac:dyDescent="0.25">
      <c r="A132" s="10"/>
      <c r="B132" s="155" t="s">
        <v>226</v>
      </c>
      <c r="C132" s="156"/>
      <c r="D132" s="156"/>
      <c r="E132" s="156"/>
      <c r="F132" s="156"/>
      <c r="G132" s="148"/>
      <c r="H132" s="149"/>
      <c r="I132" s="153"/>
      <c r="J132" s="38"/>
      <c r="K132" s="10"/>
      <c r="L132" s="155" t="s">
        <v>226</v>
      </c>
      <c r="M132" s="156"/>
      <c r="N132" s="156"/>
      <c r="O132" s="156"/>
      <c r="P132" s="156"/>
      <c r="Q132" s="148"/>
      <c r="R132" s="149"/>
      <c r="S132" s="153"/>
    </row>
    <row r="133" spans="1:19" ht="13.5" customHeight="1" thickBot="1" x14ac:dyDescent="0.3">
      <c r="A133" s="10"/>
      <c r="B133" s="157" t="s">
        <v>227</v>
      </c>
      <c r="C133" s="158"/>
      <c r="D133" s="158"/>
      <c r="E133" s="158"/>
      <c r="F133" s="158"/>
      <c r="G133" s="148"/>
      <c r="H133" s="149"/>
      <c r="I133" s="154"/>
      <c r="J133" s="39"/>
      <c r="K133" s="10"/>
      <c r="L133" s="157" t="s">
        <v>227</v>
      </c>
      <c r="M133" s="158"/>
      <c r="N133" s="158"/>
      <c r="O133" s="158"/>
      <c r="P133" s="158"/>
      <c r="Q133" s="148"/>
      <c r="R133" s="149"/>
      <c r="S133" s="154"/>
    </row>
    <row r="134" spans="1:19" ht="13.5" customHeight="1" thickBot="1" x14ac:dyDescent="0.3">
      <c r="A134" s="10"/>
      <c r="B134" s="159" t="s">
        <v>228</v>
      </c>
      <c r="C134" s="160"/>
      <c r="D134" s="160"/>
      <c r="E134" s="160"/>
      <c r="F134" s="160"/>
      <c r="G134" s="150"/>
      <c r="H134" s="151"/>
      <c r="I134" s="11" t="s">
        <v>229</v>
      </c>
      <c r="J134" s="36"/>
      <c r="K134" s="10"/>
      <c r="L134" s="159" t="s">
        <v>228</v>
      </c>
      <c r="M134" s="160"/>
      <c r="N134" s="160"/>
      <c r="O134" s="160"/>
      <c r="P134" s="160"/>
      <c r="Q134" s="150"/>
      <c r="R134" s="151"/>
      <c r="S134" s="11" t="s">
        <v>229</v>
      </c>
    </row>
    <row r="135" spans="1:19" ht="13.5" customHeight="1" x14ac:dyDescent="0.25">
      <c r="A135" s="12"/>
      <c r="B135" s="125" t="s">
        <v>230</v>
      </c>
      <c r="C135" s="126"/>
      <c r="D135" s="126"/>
      <c r="E135" s="126"/>
      <c r="F135" s="126"/>
      <c r="G135" s="86"/>
      <c r="H135" s="87"/>
      <c r="I135" s="129" t="s">
        <v>220</v>
      </c>
      <c r="J135" s="36"/>
      <c r="K135" s="12"/>
      <c r="L135" s="125" t="s">
        <v>230</v>
      </c>
      <c r="M135" s="126"/>
      <c r="N135" s="126"/>
      <c r="O135" s="126"/>
      <c r="P135" s="126"/>
      <c r="Q135" s="86"/>
      <c r="R135" s="87"/>
      <c r="S135" s="129" t="s">
        <v>220</v>
      </c>
    </row>
    <row r="136" spans="1:19" ht="13.5" customHeight="1" thickBot="1" x14ac:dyDescent="0.3">
      <c r="A136" s="7"/>
      <c r="B136" s="131" t="s">
        <v>231</v>
      </c>
      <c r="C136" s="132"/>
      <c r="D136" s="132"/>
      <c r="E136" s="132"/>
      <c r="F136" s="132"/>
      <c r="G136" s="127"/>
      <c r="H136" s="128"/>
      <c r="I136" s="130"/>
      <c r="J136" s="36"/>
      <c r="K136" s="7"/>
      <c r="L136" s="131" t="s">
        <v>231</v>
      </c>
      <c r="M136" s="132"/>
      <c r="N136" s="132"/>
      <c r="O136" s="132"/>
      <c r="P136" s="132"/>
      <c r="Q136" s="127"/>
      <c r="R136" s="128"/>
      <c r="S136" s="130"/>
    </row>
    <row r="137" spans="1:19" ht="15.75" customHeight="1" thickBot="1" x14ac:dyDescent="0.3">
      <c r="A137" s="13"/>
      <c r="B137" s="133" t="s">
        <v>232</v>
      </c>
      <c r="C137" s="134"/>
      <c r="D137" s="134"/>
      <c r="E137" s="134"/>
      <c r="F137" s="134"/>
      <c r="G137" s="135"/>
      <c r="H137" s="136"/>
      <c r="I137" s="14"/>
      <c r="J137" s="36"/>
      <c r="K137" s="13"/>
      <c r="L137" s="133" t="s">
        <v>232</v>
      </c>
      <c r="M137" s="134"/>
      <c r="N137" s="134"/>
      <c r="O137" s="134"/>
      <c r="P137" s="134"/>
      <c r="Q137" s="135"/>
      <c r="R137" s="136"/>
      <c r="S137" s="14"/>
    </row>
    <row r="138" spans="1:19" ht="24.6" customHeight="1" thickBot="1" x14ac:dyDescent="0.3">
      <c r="A138" s="13"/>
      <c r="B138" s="84" t="s">
        <v>233</v>
      </c>
      <c r="C138" s="85"/>
      <c r="D138" s="85"/>
      <c r="E138" s="85"/>
      <c r="F138" s="85"/>
      <c r="G138" s="86">
        <f>1.25*12*F121</f>
        <v>5907</v>
      </c>
      <c r="H138" s="87"/>
      <c r="I138" s="92" t="s">
        <v>649</v>
      </c>
      <c r="J138" s="41"/>
      <c r="K138" s="13"/>
      <c r="L138" s="84" t="s">
        <v>233</v>
      </c>
      <c r="M138" s="85"/>
      <c r="N138" s="85"/>
      <c r="O138" s="85"/>
      <c r="P138" s="85"/>
      <c r="Q138" s="86">
        <f>1.55*12*P121</f>
        <v>7417.6800000000012</v>
      </c>
      <c r="R138" s="87"/>
      <c r="S138" s="320" t="s">
        <v>650</v>
      </c>
    </row>
    <row r="139" spans="1:19" ht="21.6" customHeight="1" x14ac:dyDescent="0.25">
      <c r="A139" s="118"/>
      <c r="B139" s="121" t="s">
        <v>226</v>
      </c>
      <c r="C139" s="122"/>
      <c r="D139" s="122"/>
      <c r="E139" s="122"/>
      <c r="F139" s="122"/>
      <c r="G139" s="88"/>
      <c r="H139" s="89"/>
      <c r="I139" s="93"/>
      <c r="J139" s="41"/>
      <c r="K139" s="118"/>
      <c r="L139" s="121" t="s">
        <v>226</v>
      </c>
      <c r="M139" s="122"/>
      <c r="N139" s="122"/>
      <c r="O139" s="122"/>
      <c r="P139" s="122"/>
      <c r="Q139" s="88"/>
      <c r="R139" s="89"/>
      <c r="S139" s="321"/>
    </row>
    <row r="140" spans="1:19" ht="18" customHeight="1" x14ac:dyDescent="0.25">
      <c r="A140" s="119"/>
      <c r="B140" s="121" t="s">
        <v>227</v>
      </c>
      <c r="C140" s="122"/>
      <c r="D140" s="122"/>
      <c r="E140" s="122"/>
      <c r="F140" s="122"/>
      <c r="G140" s="88"/>
      <c r="H140" s="89"/>
      <c r="I140" s="93"/>
      <c r="J140" s="41"/>
      <c r="K140" s="119"/>
      <c r="L140" s="121" t="s">
        <v>227</v>
      </c>
      <c r="M140" s="122"/>
      <c r="N140" s="122"/>
      <c r="O140" s="122"/>
      <c r="P140" s="122"/>
      <c r="Q140" s="88"/>
      <c r="R140" s="89"/>
      <c r="S140" s="321"/>
    </row>
    <row r="141" spans="1:19" ht="20.100000000000001" customHeight="1" x14ac:dyDescent="0.25">
      <c r="A141" s="119"/>
      <c r="B141" s="121" t="s">
        <v>228</v>
      </c>
      <c r="C141" s="122"/>
      <c r="D141" s="122"/>
      <c r="E141" s="122"/>
      <c r="F141" s="122"/>
      <c r="G141" s="88"/>
      <c r="H141" s="89"/>
      <c r="I141" s="93"/>
      <c r="J141" s="42"/>
      <c r="K141" s="119"/>
      <c r="L141" s="121" t="s">
        <v>228</v>
      </c>
      <c r="M141" s="122"/>
      <c r="N141" s="122"/>
      <c r="O141" s="122"/>
      <c r="P141" s="122"/>
      <c r="Q141" s="88"/>
      <c r="R141" s="89"/>
      <c r="S141" s="321"/>
    </row>
    <row r="142" spans="1:19" ht="35.1" customHeight="1" thickBot="1" x14ac:dyDescent="0.3">
      <c r="A142" s="120"/>
      <c r="B142" s="123" t="s">
        <v>234</v>
      </c>
      <c r="C142" s="124"/>
      <c r="D142" s="124"/>
      <c r="E142" s="124"/>
      <c r="F142" s="124"/>
      <c r="G142" s="90"/>
      <c r="H142" s="91"/>
      <c r="I142" s="94"/>
      <c r="J142" s="43"/>
      <c r="K142" s="120"/>
      <c r="L142" s="123" t="s">
        <v>234</v>
      </c>
      <c r="M142" s="124"/>
      <c r="N142" s="124"/>
      <c r="O142" s="124"/>
      <c r="P142" s="124"/>
      <c r="Q142" s="90"/>
      <c r="R142" s="91"/>
      <c r="S142" s="322"/>
    </row>
    <row r="143" spans="1:19" ht="1.5" customHeight="1" thickBot="1" x14ac:dyDescent="0.3">
      <c r="A143" s="15"/>
      <c r="B143" s="137" t="s">
        <v>248</v>
      </c>
      <c r="C143" s="138"/>
      <c r="D143" s="138"/>
      <c r="E143" s="138"/>
      <c r="F143" s="138"/>
      <c r="G143" s="139"/>
      <c r="H143" s="140"/>
      <c r="I143" s="16"/>
      <c r="J143" s="44"/>
      <c r="K143" s="15"/>
      <c r="L143" s="137" t="s">
        <v>248</v>
      </c>
      <c r="M143" s="138"/>
      <c r="N143" s="138"/>
      <c r="O143" s="138"/>
      <c r="P143" s="138"/>
      <c r="Q143" s="139"/>
      <c r="R143" s="140"/>
      <c r="S143" s="16"/>
    </row>
    <row r="144" spans="1:19" ht="0.75" customHeight="1" thickBot="1" x14ac:dyDescent="0.3">
      <c r="A144" s="15"/>
      <c r="B144" s="137" t="s">
        <v>235</v>
      </c>
      <c r="C144" s="138"/>
      <c r="D144" s="138"/>
      <c r="E144" s="138"/>
      <c r="F144" s="138"/>
      <c r="G144" s="139"/>
      <c r="H144" s="140"/>
      <c r="I144" s="16"/>
      <c r="J144" s="40"/>
      <c r="K144" s="15"/>
      <c r="L144" s="137" t="s">
        <v>235</v>
      </c>
      <c r="M144" s="138"/>
      <c r="N144" s="138"/>
      <c r="O144" s="138"/>
      <c r="P144" s="138"/>
      <c r="Q144" s="139"/>
      <c r="R144" s="140"/>
      <c r="S144" s="16"/>
    </row>
    <row r="145" spans="1:19" ht="29.25" customHeight="1" thickBot="1" x14ac:dyDescent="0.3">
      <c r="A145" s="17"/>
      <c r="B145" s="78" t="s">
        <v>237</v>
      </c>
      <c r="C145" s="79"/>
      <c r="D145" s="79"/>
      <c r="E145" s="79"/>
      <c r="F145" s="79"/>
      <c r="G145" s="86">
        <v>1181</v>
      </c>
      <c r="H145" s="87"/>
      <c r="I145" s="108" t="s">
        <v>229</v>
      </c>
      <c r="J145" s="62"/>
      <c r="K145" s="17"/>
      <c r="L145" s="78" t="s">
        <v>237</v>
      </c>
      <c r="M145" s="79"/>
      <c r="N145" s="79"/>
      <c r="O145" s="79"/>
      <c r="P145" s="79"/>
      <c r="Q145" s="86">
        <v>771</v>
      </c>
      <c r="R145" s="87"/>
      <c r="S145" s="108" t="s">
        <v>229</v>
      </c>
    </row>
    <row r="146" spans="1:19" ht="15.75" customHeight="1" thickBot="1" x14ac:dyDescent="0.3">
      <c r="A146" s="18"/>
      <c r="B146" s="110" t="s">
        <v>238</v>
      </c>
      <c r="C146" s="111"/>
      <c r="D146" s="111"/>
      <c r="E146" s="111"/>
      <c r="F146" s="111"/>
      <c r="G146" s="90"/>
      <c r="H146" s="91"/>
      <c r="I146" s="109"/>
      <c r="J146" s="46"/>
      <c r="K146" s="18"/>
      <c r="L146" s="110" t="s">
        <v>238</v>
      </c>
      <c r="M146" s="111"/>
      <c r="N146" s="111"/>
      <c r="O146" s="111"/>
      <c r="P146" s="111"/>
      <c r="Q146" s="90"/>
      <c r="R146" s="91"/>
      <c r="S146" s="109"/>
    </row>
    <row r="147" spans="1:19" ht="15.75" customHeight="1" thickBot="1" x14ac:dyDescent="0.3">
      <c r="A147" s="19"/>
      <c r="B147" s="112" t="s">
        <v>239</v>
      </c>
      <c r="C147" s="113"/>
      <c r="D147" s="113"/>
      <c r="E147" s="113"/>
      <c r="F147" s="113"/>
      <c r="G147" s="114">
        <f>SUM(G126:H146)</f>
        <v>19091.024000000001</v>
      </c>
      <c r="H147" s="115"/>
      <c r="I147" s="20"/>
      <c r="J147" s="47"/>
      <c r="K147" s="19"/>
      <c r="L147" s="112" t="s">
        <v>239</v>
      </c>
      <c r="M147" s="113"/>
      <c r="N147" s="113"/>
      <c r="O147" s="113"/>
      <c r="P147" s="113"/>
      <c r="Q147" s="114">
        <f>SUM(Q126:R146)</f>
        <v>24842.567999999999</v>
      </c>
      <c r="R147" s="115"/>
      <c r="S147" s="20"/>
    </row>
    <row r="148" spans="1:19" ht="27.75" customHeight="1" thickBot="1" x14ac:dyDescent="0.3">
      <c r="A148" s="21"/>
      <c r="B148" s="101" t="s">
        <v>240</v>
      </c>
      <c r="C148" s="102"/>
      <c r="D148" s="102"/>
      <c r="E148" s="102"/>
      <c r="F148" s="102"/>
      <c r="G148" s="116">
        <f>G147*1.2</f>
        <v>22909.228800000001</v>
      </c>
      <c r="H148" s="117"/>
      <c r="I148" s="22"/>
      <c r="J148" s="47"/>
      <c r="K148" s="21"/>
      <c r="L148" s="101" t="s">
        <v>240</v>
      </c>
      <c r="M148" s="102"/>
      <c r="N148" s="102"/>
      <c r="O148" s="102"/>
      <c r="P148" s="102"/>
      <c r="Q148" s="116">
        <f>Q147*1.2</f>
        <v>29811.081599999998</v>
      </c>
      <c r="R148" s="117"/>
      <c r="S148" s="22"/>
    </row>
    <row r="149" spans="1:19" ht="27.75" customHeight="1" thickBot="1" x14ac:dyDescent="0.3">
      <c r="A149" s="24"/>
      <c r="B149" s="96" t="s">
        <v>443</v>
      </c>
      <c r="C149" s="97"/>
      <c r="D149" s="97"/>
      <c r="E149" s="97"/>
      <c r="F149" s="97"/>
      <c r="G149" s="311">
        <v>23221.23</v>
      </c>
      <c r="H149" s="312"/>
      <c r="I149" s="313"/>
      <c r="J149" s="47"/>
      <c r="K149" s="24"/>
      <c r="L149" s="96" t="s">
        <v>443</v>
      </c>
      <c r="M149" s="97"/>
      <c r="N149" s="97"/>
      <c r="O149" s="97"/>
      <c r="P149" s="97"/>
      <c r="Q149" s="311">
        <v>31540.799999999999</v>
      </c>
      <c r="R149" s="312"/>
      <c r="S149" s="313"/>
    </row>
    <row r="150" spans="1:19" ht="27.75" customHeight="1" thickBot="1" x14ac:dyDescent="0.3">
      <c r="A150" s="19"/>
      <c r="B150" s="101" t="s">
        <v>242</v>
      </c>
      <c r="C150" s="102"/>
      <c r="D150" s="102"/>
      <c r="E150" s="102"/>
      <c r="F150" s="102"/>
      <c r="G150" s="307">
        <v>23998.11</v>
      </c>
      <c r="H150" s="308"/>
      <c r="I150" s="309"/>
      <c r="J150" s="48"/>
      <c r="K150" s="19"/>
      <c r="L150" s="101" t="s">
        <v>242</v>
      </c>
      <c r="M150" s="102"/>
      <c r="N150" s="102"/>
      <c r="O150" s="102"/>
      <c r="P150" s="102"/>
      <c r="Q150" s="307">
        <v>31330.34</v>
      </c>
      <c r="R150" s="308"/>
      <c r="S150" s="309"/>
    </row>
    <row r="151" spans="1:19" ht="27.75" customHeight="1" thickBot="1" x14ac:dyDescent="0.3">
      <c r="A151" s="19"/>
      <c r="B151" s="106" t="s">
        <v>444</v>
      </c>
      <c r="C151" s="107"/>
      <c r="D151" s="107"/>
      <c r="E151" s="107"/>
      <c r="F151" s="107"/>
      <c r="G151" s="307">
        <v>1349.78</v>
      </c>
      <c r="H151" s="308"/>
      <c r="I151" s="309"/>
      <c r="J151" s="49"/>
      <c r="K151" s="19"/>
      <c r="L151" s="106" t="s">
        <v>444</v>
      </c>
      <c r="M151" s="107"/>
      <c r="N151" s="107"/>
      <c r="O151" s="107"/>
      <c r="P151" s="107"/>
      <c r="Q151" s="307">
        <v>2438.12</v>
      </c>
      <c r="R151" s="308"/>
      <c r="S151" s="309"/>
    </row>
    <row r="152" spans="1:19" ht="25.5" customHeight="1" x14ac:dyDescent="0.25">
      <c r="A152" s="4"/>
      <c r="B152" s="339"/>
      <c r="C152" s="339"/>
      <c r="D152" s="339"/>
      <c r="E152" s="339"/>
      <c r="F152" s="339"/>
      <c r="G152" s="339"/>
      <c r="H152" s="339"/>
      <c r="I152" s="339"/>
      <c r="K152" s="4"/>
      <c r="L152" s="339"/>
      <c r="M152" s="339"/>
      <c r="N152" s="339"/>
      <c r="O152" s="339"/>
      <c r="P152" s="339"/>
      <c r="Q152" s="339"/>
      <c r="R152" s="339"/>
      <c r="S152" s="339"/>
    </row>
    <row r="153" spans="1:19" x14ac:dyDescent="0.25">
      <c r="E153" s="50"/>
      <c r="I153" s="5"/>
      <c r="O153" s="50"/>
      <c r="S153" s="5"/>
    </row>
    <row r="154" spans="1:19" x14ac:dyDescent="0.25">
      <c r="A154" s="3"/>
      <c r="I154" s="5"/>
      <c r="K154" s="3"/>
      <c r="S154" s="5"/>
    </row>
    <row r="155" spans="1:19" ht="15.75" x14ac:dyDescent="0.25">
      <c r="A155" s="30"/>
      <c r="K155" s="30"/>
    </row>
    <row r="156" spans="1:19" ht="15.75" x14ac:dyDescent="0.25">
      <c r="A156" s="30"/>
      <c r="K156" s="30"/>
    </row>
    <row r="157" spans="1:19" x14ac:dyDescent="0.25">
      <c r="A157" s="3"/>
      <c r="B157" s="3"/>
      <c r="C157" s="3"/>
      <c r="D157" s="3"/>
      <c r="E157" s="4" t="s">
        <v>204</v>
      </c>
      <c r="F157" s="3"/>
      <c r="G157" s="3"/>
      <c r="H157" s="3"/>
      <c r="I157" s="3"/>
      <c r="K157" s="3"/>
      <c r="L157" s="3"/>
      <c r="M157" s="3"/>
      <c r="N157" s="3"/>
      <c r="O157" s="4" t="s">
        <v>204</v>
      </c>
      <c r="P157" s="3"/>
      <c r="Q157" s="3"/>
      <c r="R157" s="3"/>
      <c r="S157" s="3"/>
    </row>
    <row r="158" spans="1:19" x14ac:dyDescent="0.25">
      <c r="A158" s="3" t="s">
        <v>205</v>
      </c>
      <c r="B158" s="3"/>
      <c r="C158" s="3"/>
      <c r="D158" s="3" t="s">
        <v>411</v>
      </c>
      <c r="E158" s="3"/>
      <c r="F158" s="3"/>
      <c r="G158" s="3"/>
      <c r="H158" s="3"/>
      <c r="I158" s="3"/>
      <c r="K158" s="3" t="s">
        <v>205</v>
      </c>
      <c r="L158" s="3"/>
      <c r="M158" s="3"/>
      <c r="N158" s="3" t="s">
        <v>412</v>
      </c>
      <c r="O158" s="3"/>
      <c r="P158" s="3"/>
      <c r="Q158" s="3"/>
      <c r="R158" s="3"/>
      <c r="S158" s="3"/>
    </row>
    <row r="159" spans="1:19" x14ac:dyDescent="0.25">
      <c r="A159" s="3"/>
      <c r="B159" s="5" t="s">
        <v>440</v>
      </c>
      <c r="C159" s="3"/>
      <c r="D159" s="3"/>
      <c r="E159" s="3"/>
      <c r="F159" s="3"/>
      <c r="G159" s="3"/>
      <c r="H159" s="3"/>
      <c r="I159" s="3"/>
      <c r="K159" s="3"/>
      <c r="L159" s="5" t="s">
        <v>440</v>
      </c>
      <c r="M159" s="3"/>
      <c r="N159" s="3"/>
      <c r="O159" s="3"/>
      <c r="P159" s="3"/>
      <c r="Q159" s="3"/>
      <c r="R159" s="3"/>
      <c r="S159" s="3"/>
    </row>
    <row r="160" spans="1:19" ht="15.75" thickBot="1" x14ac:dyDescent="0.3">
      <c r="A160" s="3"/>
      <c r="B160" s="5" t="s">
        <v>206</v>
      </c>
      <c r="C160" s="3"/>
      <c r="D160" s="3"/>
      <c r="E160" s="3"/>
      <c r="F160" s="3">
        <v>2875</v>
      </c>
      <c r="G160" s="3" t="s">
        <v>207</v>
      </c>
      <c r="H160" s="3"/>
      <c r="I160" s="3"/>
      <c r="J160" s="3"/>
      <c r="K160" s="3"/>
      <c r="L160" s="5" t="s">
        <v>206</v>
      </c>
      <c r="M160" s="3"/>
      <c r="N160" s="3"/>
      <c r="O160" s="3"/>
      <c r="P160" s="3">
        <v>395.4</v>
      </c>
      <c r="Q160" s="3" t="s">
        <v>207</v>
      </c>
      <c r="R160" s="3"/>
      <c r="S160" s="3"/>
    </row>
    <row r="161" spans="1:19" ht="15.75" customHeight="1" thickBot="1" x14ac:dyDescent="0.3">
      <c r="A161" s="175" t="s">
        <v>209</v>
      </c>
      <c r="B161" s="177" t="s">
        <v>210</v>
      </c>
      <c r="C161" s="178"/>
      <c r="D161" s="178"/>
      <c r="E161" s="178"/>
      <c r="F161" s="178"/>
      <c r="G161" s="180" t="s">
        <v>442</v>
      </c>
      <c r="H161" s="181"/>
      <c r="I161" s="175" t="s">
        <v>212</v>
      </c>
      <c r="J161" s="3"/>
      <c r="K161" s="175" t="s">
        <v>209</v>
      </c>
      <c r="L161" s="177" t="s">
        <v>210</v>
      </c>
      <c r="M161" s="178"/>
      <c r="N161" s="178"/>
      <c r="O161" s="178"/>
      <c r="P161" s="178"/>
      <c r="Q161" s="180" t="s">
        <v>442</v>
      </c>
      <c r="R161" s="181"/>
      <c r="S161" s="175" t="s">
        <v>212</v>
      </c>
    </row>
    <row r="162" spans="1:19" ht="66" customHeight="1" thickBot="1" x14ac:dyDescent="0.3">
      <c r="A162" s="176"/>
      <c r="B162" s="179"/>
      <c r="C162" s="179"/>
      <c r="D162" s="179"/>
      <c r="E162" s="179"/>
      <c r="F162" s="179"/>
      <c r="G162" s="182"/>
      <c r="H162" s="183"/>
      <c r="I162" s="184"/>
      <c r="J162" s="31"/>
      <c r="K162" s="176"/>
      <c r="L162" s="179"/>
      <c r="M162" s="179"/>
      <c r="N162" s="179"/>
      <c r="O162" s="179"/>
      <c r="P162" s="179"/>
      <c r="Q162" s="182"/>
      <c r="R162" s="183"/>
      <c r="S162" s="184"/>
    </row>
    <row r="163" spans="1:19" ht="19.5" customHeight="1" thickBot="1" x14ac:dyDescent="0.3">
      <c r="A163" s="185" t="s">
        <v>213</v>
      </c>
      <c r="B163" s="187" t="s">
        <v>354</v>
      </c>
      <c r="C163" s="188"/>
      <c r="D163" s="188"/>
      <c r="E163" s="188"/>
      <c r="F163" s="188"/>
      <c r="G163" s="190">
        <v>257744.64000000001</v>
      </c>
      <c r="H163" s="191"/>
      <c r="I163" s="192"/>
      <c r="J163" s="32"/>
      <c r="K163" s="185" t="s">
        <v>213</v>
      </c>
      <c r="L163" s="187" t="s">
        <v>354</v>
      </c>
      <c r="M163" s="188"/>
      <c r="N163" s="188"/>
      <c r="O163" s="188"/>
      <c r="P163" s="188"/>
      <c r="Q163" s="190">
        <v>11601.45</v>
      </c>
      <c r="R163" s="191"/>
      <c r="S163" s="192"/>
    </row>
    <row r="164" spans="1:19" ht="15.75" hidden="1" customHeight="1" x14ac:dyDescent="0.25">
      <c r="A164" s="186"/>
      <c r="B164" s="189"/>
      <c r="C164" s="189"/>
      <c r="D164" s="189"/>
      <c r="E164" s="189"/>
      <c r="F164" s="189"/>
      <c r="G164" s="193"/>
      <c r="H164" s="194"/>
      <c r="I164" s="128"/>
      <c r="J164" s="33"/>
      <c r="K164" s="186"/>
      <c r="L164" s="189"/>
      <c r="M164" s="189"/>
      <c r="N164" s="189"/>
      <c r="O164" s="189"/>
      <c r="P164" s="189"/>
      <c r="Q164" s="193"/>
      <c r="R164" s="194"/>
      <c r="S164" s="128"/>
    </row>
    <row r="165" spans="1:19" ht="16.5" customHeight="1" x14ac:dyDescent="0.25">
      <c r="A165" s="6"/>
      <c r="B165" s="161" t="s">
        <v>214</v>
      </c>
      <c r="C165" s="162"/>
      <c r="D165" s="162"/>
      <c r="E165" s="162"/>
      <c r="F165" s="162"/>
      <c r="G165" s="163">
        <f>2.99*12*F160</f>
        <v>103155.00000000001</v>
      </c>
      <c r="H165" s="164"/>
      <c r="I165" s="169" t="s">
        <v>215</v>
      </c>
      <c r="J165" s="36"/>
      <c r="K165" s="6"/>
      <c r="L165" s="161" t="s">
        <v>214</v>
      </c>
      <c r="M165" s="162"/>
      <c r="N165" s="162"/>
      <c r="O165" s="162"/>
      <c r="P165" s="162"/>
      <c r="Q165" s="163">
        <f>1*12*P160</f>
        <v>4744.7999999999993</v>
      </c>
      <c r="R165" s="164"/>
      <c r="S165" s="169" t="s">
        <v>215</v>
      </c>
    </row>
    <row r="166" spans="1:19" ht="28.5" customHeight="1" thickBot="1" x14ac:dyDescent="0.3">
      <c r="A166" s="7"/>
      <c r="B166" s="171" t="s">
        <v>216</v>
      </c>
      <c r="C166" s="172"/>
      <c r="D166" s="172"/>
      <c r="E166" s="172"/>
      <c r="F166" s="172"/>
      <c r="G166" s="165"/>
      <c r="H166" s="166"/>
      <c r="I166" s="170"/>
      <c r="J166" s="35"/>
      <c r="K166" s="7"/>
      <c r="L166" s="171" t="s">
        <v>216</v>
      </c>
      <c r="M166" s="172"/>
      <c r="N166" s="172"/>
      <c r="O166" s="172"/>
      <c r="P166" s="172"/>
      <c r="Q166" s="165"/>
      <c r="R166" s="166"/>
      <c r="S166" s="170"/>
    </row>
    <row r="167" spans="1:19" ht="13.5" customHeight="1" thickBot="1" x14ac:dyDescent="0.3">
      <c r="A167" s="7"/>
      <c r="B167" s="173" t="s">
        <v>217</v>
      </c>
      <c r="C167" s="174"/>
      <c r="D167" s="174"/>
      <c r="E167" s="174"/>
      <c r="F167" s="174"/>
      <c r="G167" s="167"/>
      <c r="H167" s="168"/>
      <c r="I167" s="8" t="s">
        <v>218</v>
      </c>
      <c r="J167" s="36"/>
      <c r="K167" s="7"/>
      <c r="L167" s="173" t="s">
        <v>217</v>
      </c>
      <c r="M167" s="174"/>
      <c r="N167" s="174"/>
      <c r="O167" s="174"/>
      <c r="P167" s="174"/>
      <c r="Q167" s="167"/>
      <c r="R167" s="168"/>
      <c r="S167" s="8" t="s">
        <v>218</v>
      </c>
    </row>
    <row r="168" spans="1:19" ht="18" customHeight="1" thickBot="1" x14ac:dyDescent="0.3">
      <c r="A168" s="7"/>
      <c r="B168" s="141" t="s">
        <v>219</v>
      </c>
      <c r="C168" s="142"/>
      <c r="D168" s="142"/>
      <c r="E168" s="142"/>
      <c r="F168" s="142"/>
      <c r="G168" s="143">
        <v>0</v>
      </c>
      <c r="H168" s="144"/>
      <c r="I168" s="8" t="s">
        <v>220</v>
      </c>
      <c r="J168" s="36"/>
      <c r="K168" s="7"/>
      <c r="L168" s="141" t="s">
        <v>219</v>
      </c>
      <c r="M168" s="142"/>
      <c r="N168" s="142"/>
      <c r="O168" s="142"/>
      <c r="P168" s="142"/>
      <c r="Q168" s="143">
        <v>0</v>
      </c>
      <c r="R168" s="144"/>
      <c r="S168" s="8" t="s">
        <v>220</v>
      </c>
    </row>
    <row r="169" spans="1:19" ht="18" customHeight="1" thickBot="1" x14ac:dyDescent="0.3">
      <c r="A169" s="7"/>
      <c r="B169" s="141" t="s">
        <v>221</v>
      </c>
      <c r="C169" s="142"/>
      <c r="D169" s="142"/>
      <c r="E169" s="142"/>
      <c r="F169" s="142"/>
      <c r="G169" s="143">
        <f>0.33*12*F160</f>
        <v>11385</v>
      </c>
      <c r="H169" s="144"/>
      <c r="I169" s="8" t="s">
        <v>222</v>
      </c>
      <c r="J169" s="37"/>
      <c r="K169" s="7"/>
      <c r="L169" s="141" t="s">
        <v>221</v>
      </c>
      <c r="M169" s="142"/>
      <c r="N169" s="142"/>
      <c r="O169" s="142"/>
      <c r="P169" s="142"/>
      <c r="Q169" s="143">
        <f>0.25*12*P160</f>
        <v>1186.1999999999998</v>
      </c>
      <c r="R169" s="144"/>
      <c r="S169" s="8" t="s">
        <v>222</v>
      </c>
    </row>
    <row r="170" spans="1:19" ht="13.5" customHeight="1" x14ac:dyDescent="0.25">
      <c r="A170" s="9"/>
      <c r="B170" s="145" t="s">
        <v>223</v>
      </c>
      <c r="C170" s="146"/>
      <c r="D170" s="146"/>
      <c r="E170" s="146"/>
      <c r="F170" s="146"/>
      <c r="G170" s="86">
        <f>2.42*12*F160</f>
        <v>83490</v>
      </c>
      <c r="H170" s="147"/>
      <c r="I170" s="152" t="s">
        <v>224</v>
      </c>
      <c r="J170" s="38"/>
      <c r="K170" s="9"/>
      <c r="L170" s="145" t="s">
        <v>223</v>
      </c>
      <c r="M170" s="146"/>
      <c r="N170" s="146"/>
      <c r="O170" s="146"/>
      <c r="P170" s="146"/>
      <c r="Q170" s="86">
        <f>1.23*12*P160</f>
        <v>5836.1039999999994</v>
      </c>
      <c r="R170" s="147"/>
      <c r="S170" s="152" t="s">
        <v>224</v>
      </c>
    </row>
    <row r="171" spans="1:19" ht="13.5" customHeight="1" x14ac:dyDescent="0.25">
      <c r="A171" s="10"/>
      <c r="B171" s="155" t="s">
        <v>226</v>
      </c>
      <c r="C171" s="156"/>
      <c r="D171" s="156"/>
      <c r="E171" s="156"/>
      <c r="F171" s="156"/>
      <c r="G171" s="148"/>
      <c r="H171" s="149"/>
      <c r="I171" s="153"/>
      <c r="J171" s="38"/>
      <c r="K171" s="10"/>
      <c r="L171" s="155" t="s">
        <v>226</v>
      </c>
      <c r="M171" s="156"/>
      <c r="N171" s="156"/>
      <c r="O171" s="156"/>
      <c r="P171" s="156"/>
      <c r="Q171" s="148"/>
      <c r="R171" s="149"/>
      <c r="S171" s="153"/>
    </row>
    <row r="172" spans="1:19" ht="13.5" customHeight="1" thickBot="1" x14ac:dyDescent="0.3">
      <c r="A172" s="10"/>
      <c r="B172" s="157" t="s">
        <v>227</v>
      </c>
      <c r="C172" s="158"/>
      <c r="D172" s="158"/>
      <c r="E172" s="158"/>
      <c r="F172" s="158"/>
      <c r="G172" s="148"/>
      <c r="H172" s="149"/>
      <c r="I172" s="154"/>
      <c r="J172" s="39"/>
      <c r="K172" s="10"/>
      <c r="L172" s="157" t="s">
        <v>227</v>
      </c>
      <c r="M172" s="158"/>
      <c r="N172" s="158"/>
      <c r="O172" s="158"/>
      <c r="P172" s="158"/>
      <c r="Q172" s="148"/>
      <c r="R172" s="149"/>
      <c r="S172" s="154"/>
    </row>
    <row r="173" spans="1:19" ht="13.5" customHeight="1" thickBot="1" x14ac:dyDescent="0.3">
      <c r="A173" s="10"/>
      <c r="B173" s="159" t="s">
        <v>228</v>
      </c>
      <c r="C173" s="160"/>
      <c r="D173" s="160"/>
      <c r="E173" s="160"/>
      <c r="F173" s="160"/>
      <c r="G173" s="150"/>
      <c r="H173" s="151"/>
      <c r="I173" s="11" t="s">
        <v>229</v>
      </c>
      <c r="J173" s="36"/>
      <c r="K173" s="10"/>
      <c r="L173" s="159" t="s">
        <v>228</v>
      </c>
      <c r="M173" s="160"/>
      <c r="N173" s="160"/>
      <c r="O173" s="160"/>
      <c r="P173" s="160"/>
      <c r="Q173" s="150"/>
      <c r="R173" s="151"/>
      <c r="S173" s="11" t="s">
        <v>229</v>
      </c>
    </row>
    <row r="174" spans="1:19" ht="13.5" customHeight="1" x14ac:dyDescent="0.25">
      <c r="A174" s="12"/>
      <c r="B174" s="125" t="s">
        <v>230</v>
      </c>
      <c r="C174" s="126"/>
      <c r="D174" s="126"/>
      <c r="E174" s="126"/>
      <c r="F174" s="126"/>
      <c r="G174" s="86">
        <f>0.048*12*F160</f>
        <v>1656.0000000000002</v>
      </c>
      <c r="H174" s="87"/>
      <c r="I174" s="129" t="s">
        <v>220</v>
      </c>
      <c r="J174" s="36"/>
      <c r="K174" s="12"/>
      <c r="L174" s="125" t="s">
        <v>230</v>
      </c>
      <c r="M174" s="126"/>
      <c r="N174" s="126"/>
      <c r="O174" s="126"/>
      <c r="P174" s="126"/>
      <c r="Q174" s="86">
        <v>0</v>
      </c>
      <c r="R174" s="87"/>
      <c r="S174" s="129" t="s">
        <v>220</v>
      </c>
    </row>
    <row r="175" spans="1:19" ht="13.5" customHeight="1" thickBot="1" x14ac:dyDescent="0.3">
      <c r="A175" s="7"/>
      <c r="B175" s="131" t="s">
        <v>231</v>
      </c>
      <c r="C175" s="132"/>
      <c r="D175" s="132"/>
      <c r="E175" s="132"/>
      <c r="F175" s="132"/>
      <c r="G175" s="127"/>
      <c r="H175" s="128"/>
      <c r="I175" s="130"/>
      <c r="J175" s="36"/>
      <c r="K175" s="7"/>
      <c r="L175" s="131" t="s">
        <v>231</v>
      </c>
      <c r="M175" s="132"/>
      <c r="N175" s="132"/>
      <c r="O175" s="132"/>
      <c r="P175" s="132"/>
      <c r="Q175" s="127"/>
      <c r="R175" s="128"/>
      <c r="S175" s="130"/>
    </row>
    <row r="176" spans="1:19" ht="15.75" customHeight="1" thickBot="1" x14ac:dyDescent="0.3">
      <c r="A176" s="13"/>
      <c r="B176" s="133" t="s">
        <v>232</v>
      </c>
      <c r="C176" s="134"/>
      <c r="D176" s="134"/>
      <c r="E176" s="134"/>
      <c r="F176" s="134"/>
      <c r="G176" s="135"/>
      <c r="H176" s="136"/>
      <c r="I176" s="14"/>
      <c r="J176" s="36"/>
      <c r="K176" s="13"/>
      <c r="L176" s="133" t="s">
        <v>232</v>
      </c>
      <c r="M176" s="134"/>
      <c r="N176" s="134"/>
      <c r="O176" s="134"/>
      <c r="P176" s="134"/>
      <c r="Q176" s="135"/>
      <c r="R176" s="136"/>
      <c r="S176" s="14"/>
    </row>
    <row r="177" spans="1:19" ht="30" customHeight="1" thickBot="1" x14ac:dyDescent="0.3">
      <c r="A177" s="13"/>
      <c r="B177" s="84" t="s">
        <v>233</v>
      </c>
      <c r="C177" s="85"/>
      <c r="D177" s="85"/>
      <c r="E177" s="85"/>
      <c r="F177" s="85"/>
      <c r="G177" s="86">
        <f>2.65*12*F160</f>
        <v>91424.999999999985</v>
      </c>
      <c r="H177" s="87"/>
      <c r="I177" s="92" t="s">
        <v>652</v>
      </c>
      <c r="J177" s="41"/>
      <c r="K177" s="13"/>
      <c r="L177" s="84" t="s">
        <v>233</v>
      </c>
      <c r="M177" s="85"/>
      <c r="N177" s="85"/>
      <c r="O177" s="85"/>
      <c r="P177" s="85"/>
      <c r="Q177" s="86">
        <f>1.12*12*P160</f>
        <v>5314.1760000000004</v>
      </c>
      <c r="R177" s="87"/>
      <c r="S177" s="362" t="s">
        <v>653</v>
      </c>
    </row>
    <row r="178" spans="1:19" ht="32.25" customHeight="1" x14ac:dyDescent="0.25">
      <c r="A178" s="118"/>
      <c r="B178" s="121" t="s">
        <v>226</v>
      </c>
      <c r="C178" s="122"/>
      <c r="D178" s="122"/>
      <c r="E178" s="122"/>
      <c r="F178" s="122"/>
      <c r="G178" s="88"/>
      <c r="H178" s="89"/>
      <c r="I178" s="93"/>
      <c r="J178" s="41"/>
      <c r="K178" s="118"/>
      <c r="L178" s="121" t="s">
        <v>226</v>
      </c>
      <c r="M178" s="122"/>
      <c r="N178" s="122"/>
      <c r="O178" s="122"/>
      <c r="P178" s="122"/>
      <c r="Q178" s="88"/>
      <c r="R178" s="89"/>
      <c r="S178" s="363"/>
    </row>
    <row r="179" spans="1:19" ht="39" customHeight="1" x14ac:dyDescent="0.25">
      <c r="A179" s="119"/>
      <c r="B179" s="121" t="s">
        <v>227</v>
      </c>
      <c r="C179" s="122"/>
      <c r="D179" s="122"/>
      <c r="E179" s="122"/>
      <c r="F179" s="122"/>
      <c r="G179" s="88"/>
      <c r="H179" s="89"/>
      <c r="I179" s="93"/>
      <c r="J179" s="41"/>
      <c r="K179" s="119"/>
      <c r="L179" s="121" t="s">
        <v>227</v>
      </c>
      <c r="M179" s="122"/>
      <c r="N179" s="122"/>
      <c r="O179" s="122"/>
      <c r="P179" s="122"/>
      <c r="Q179" s="88"/>
      <c r="R179" s="89"/>
      <c r="S179" s="363"/>
    </row>
    <row r="180" spans="1:19" ht="41.25" customHeight="1" x14ac:dyDescent="0.25">
      <c r="A180" s="119"/>
      <c r="B180" s="121" t="s">
        <v>228</v>
      </c>
      <c r="C180" s="122"/>
      <c r="D180" s="122"/>
      <c r="E180" s="122"/>
      <c r="F180" s="122"/>
      <c r="G180" s="88"/>
      <c r="H180" s="89"/>
      <c r="I180" s="93"/>
      <c r="J180" s="41"/>
      <c r="K180" s="119"/>
      <c r="L180" s="121" t="s">
        <v>228</v>
      </c>
      <c r="M180" s="122"/>
      <c r="N180" s="122"/>
      <c r="O180" s="122"/>
      <c r="P180" s="122"/>
      <c r="Q180" s="88"/>
      <c r="R180" s="89"/>
      <c r="S180" s="363"/>
    </row>
    <row r="181" spans="1:19" ht="43.5" customHeight="1" thickBot="1" x14ac:dyDescent="0.3">
      <c r="A181" s="120"/>
      <c r="B181" s="123" t="s">
        <v>234</v>
      </c>
      <c r="C181" s="124"/>
      <c r="D181" s="124"/>
      <c r="E181" s="124"/>
      <c r="F181" s="124"/>
      <c r="G181" s="90"/>
      <c r="H181" s="91"/>
      <c r="I181" s="94"/>
      <c r="J181" s="42"/>
      <c r="K181" s="120"/>
      <c r="L181" s="123" t="s">
        <v>234</v>
      </c>
      <c r="M181" s="124"/>
      <c r="N181" s="124"/>
      <c r="O181" s="124"/>
      <c r="P181" s="124"/>
      <c r="Q181" s="90"/>
      <c r="R181" s="91"/>
      <c r="S181" s="364"/>
    </row>
    <row r="182" spans="1:19" ht="29.25" hidden="1" customHeight="1" x14ac:dyDescent="0.25">
      <c r="A182" s="15"/>
      <c r="B182" s="137" t="s">
        <v>248</v>
      </c>
      <c r="C182" s="138"/>
      <c r="D182" s="138"/>
      <c r="E182" s="138"/>
      <c r="F182" s="138"/>
      <c r="G182" s="139"/>
      <c r="H182" s="140"/>
      <c r="I182" s="16"/>
      <c r="J182" s="43"/>
      <c r="K182" s="15"/>
      <c r="L182" s="137" t="s">
        <v>248</v>
      </c>
      <c r="M182" s="138"/>
      <c r="N182" s="138"/>
      <c r="O182" s="138"/>
      <c r="P182" s="138"/>
      <c r="Q182" s="139"/>
      <c r="R182" s="140"/>
      <c r="S182" s="16"/>
    </row>
    <row r="183" spans="1:19" ht="0.75" customHeight="1" thickBot="1" x14ac:dyDescent="0.3">
      <c r="A183" s="15"/>
      <c r="B183" s="137" t="s">
        <v>235</v>
      </c>
      <c r="C183" s="138"/>
      <c r="D183" s="138"/>
      <c r="E183" s="138"/>
      <c r="F183" s="138"/>
      <c r="G183" s="139"/>
      <c r="H183" s="140"/>
      <c r="I183" s="16"/>
      <c r="J183" s="44"/>
      <c r="K183" s="15"/>
      <c r="L183" s="137" t="s">
        <v>235</v>
      </c>
      <c r="M183" s="138"/>
      <c r="N183" s="138"/>
      <c r="O183" s="138"/>
      <c r="P183" s="138"/>
      <c r="Q183" s="139"/>
      <c r="R183" s="140"/>
      <c r="S183" s="16"/>
    </row>
    <row r="184" spans="1:19" ht="36.75" customHeight="1" thickBot="1" x14ac:dyDescent="0.3">
      <c r="A184" s="17"/>
      <c r="B184" s="78" t="s">
        <v>237</v>
      </c>
      <c r="C184" s="79"/>
      <c r="D184" s="79"/>
      <c r="E184" s="79"/>
      <c r="F184" s="79"/>
      <c r="G184" s="86">
        <v>22837</v>
      </c>
      <c r="H184" s="87"/>
      <c r="I184" s="108" t="s">
        <v>229</v>
      </c>
      <c r="J184" s="40"/>
      <c r="K184" s="17"/>
      <c r="L184" s="78" t="s">
        <v>237</v>
      </c>
      <c r="M184" s="79"/>
      <c r="N184" s="79"/>
      <c r="O184" s="79"/>
      <c r="P184" s="79"/>
      <c r="Q184" s="86">
        <v>7955</v>
      </c>
      <c r="R184" s="87"/>
      <c r="S184" s="108" t="s">
        <v>229</v>
      </c>
    </row>
    <row r="185" spans="1:19" ht="15.75" thickBot="1" x14ac:dyDescent="0.3">
      <c r="A185" s="18"/>
      <c r="B185" s="110" t="s">
        <v>238</v>
      </c>
      <c r="C185" s="111"/>
      <c r="D185" s="111"/>
      <c r="E185" s="111"/>
      <c r="F185" s="111"/>
      <c r="G185" s="90"/>
      <c r="H185" s="91"/>
      <c r="I185" s="109"/>
      <c r="J185" s="45"/>
      <c r="K185" s="18"/>
      <c r="L185" s="110" t="s">
        <v>238</v>
      </c>
      <c r="M185" s="111"/>
      <c r="N185" s="111"/>
      <c r="O185" s="111"/>
      <c r="P185" s="111"/>
      <c r="Q185" s="90"/>
      <c r="R185" s="91"/>
      <c r="S185" s="109"/>
    </row>
    <row r="186" spans="1:19" ht="15.75" thickBot="1" x14ac:dyDescent="0.3">
      <c r="A186" s="19"/>
      <c r="B186" s="112" t="s">
        <v>239</v>
      </c>
      <c r="C186" s="113"/>
      <c r="D186" s="113"/>
      <c r="E186" s="113"/>
      <c r="F186" s="113"/>
      <c r="G186" s="114">
        <f>SUM(G165:H185)</f>
        <v>313948</v>
      </c>
      <c r="H186" s="115"/>
      <c r="I186" s="20"/>
      <c r="J186" s="46"/>
      <c r="K186" s="19"/>
      <c r="L186" s="112" t="s">
        <v>239</v>
      </c>
      <c r="M186" s="113"/>
      <c r="N186" s="113"/>
      <c r="O186" s="113"/>
      <c r="P186" s="113"/>
      <c r="Q186" s="114">
        <f>SUM(Q165:R185)</f>
        <v>25036.28</v>
      </c>
      <c r="R186" s="115"/>
      <c r="S186" s="20"/>
    </row>
    <row r="187" spans="1:19" ht="21" customHeight="1" thickBot="1" x14ac:dyDescent="0.3">
      <c r="A187" s="21"/>
      <c r="B187" s="101" t="s">
        <v>240</v>
      </c>
      <c r="C187" s="102"/>
      <c r="D187" s="102"/>
      <c r="E187" s="102"/>
      <c r="F187" s="102"/>
      <c r="G187" s="116">
        <f>G186*1.2</f>
        <v>376737.6</v>
      </c>
      <c r="H187" s="117"/>
      <c r="I187" s="22"/>
      <c r="J187" s="47"/>
      <c r="K187" s="21"/>
      <c r="L187" s="101" t="s">
        <v>240</v>
      </c>
      <c r="M187" s="102"/>
      <c r="N187" s="102"/>
      <c r="O187" s="102"/>
      <c r="P187" s="102"/>
      <c r="Q187" s="116">
        <f>Q186*1.2</f>
        <v>30043.535999999996</v>
      </c>
      <c r="R187" s="117"/>
      <c r="S187" s="22"/>
    </row>
    <row r="188" spans="1:19" ht="21" customHeight="1" thickBot="1" x14ac:dyDescent="0.3">
      <c r="A188" s="24"/>
      <c r="B188" s="96" t="s">
        <v>443</v>
      </c>
      <c r="C188" s="97"/>
      <c r="D188" s="97"/>
      <c r="E188" s="97"/>
      <c r="F188" s="97"/>
      <c r="G188" s="311">
        <v>424222.18</v>
      </c>
      <c r="H188" s="312"/>
      <c r="I188" s="313"/>
      <c r="J188" s="47"/>
      <c r="K188" s="24"/>
      <c r="L188" s="96" t="s">
        <v>443</v>
      </c>
      <c r="M188" s="97"/>
      <c r="N188" s="97"/>
      <c r="O188" s="97"/>
      <c r="P188" s="97"/>
      <c r="Q188" s="311">
        <v>29191.65</v>
      </c>
      <c r="R188" s="312"/>
      <c r="S188" s="313"/>
    </row>
    <row r="189" spans="1:19" ht="21" customHeight="1" thickBot="1" x14ac:dyDescent="0.3">
      <c r="A189" s="19"/>
      <c r="B189" s="101" t="s">
        <v>242</v>
      </c>
      <c r="C189" s="102"/>
      <c r="D189" s="102"/>
      <c r="E189" s="102"/>
      <c r="F189" s="102"/>
      <c r="G189" s="307">
        <v>468442.31</v>
      </c>
      <c r="H189" s="308"/>
      <c r="I189" s="309"/>
      <c r="J189" s="47"/>
      <c r="K189" s="19"/>
      <c r="L189" s="101" t="s">
        <v>242</v>
      </c>
      <c r="M189" s="102"/>
      <c r="N189" s="102"/>
      <c r="O189" s="102"/>
      <c r="P189" s="102"/>
      <c r="Q189" s="307">
        <v>38228.1</v>
      </c>
      <c r="R189" s="308"/>
      <c r="S189" s="309"/>
    </row>
    <row r="190" spans="1:19" ht="21" customHeight="1" thickBot="1" x14ac:dyDescent="0.3">
      <c r="A190" s="19"/>
      <c r="B190" s="106" t="s">
        <v>444</v>
      </c>
      <c r="C190" s="107"/>
      <c r="D190" s="107"/>
      <c r="E190" s="107"/>
      <c r="F190" s="107"/>
      <c r="G190" s="307">
        <v>213524.51</v>
      </c>
      <c r="H190" s="308"/>
      <c r="I190" s="309"/>
      <c r="J190" s="47"/>
      <c r="K190" s="19"/>
      <c r="L190" s="106" t="s">
        <v>444</v>
      </c>
      <c r="M190" s="107"/>
      <c r="N190" s="107"/>
      <c r="O190" s="107"/>
      <c r="P190" s="107"/>
      <c r="Q190" s="282">
        <v>2565</v>
      </c>
      <c r="R190" s="336"/>
      <c r="S190" s="337"/>
    </row>
    <row r="191" spans="1:19" ht="30" customHeight="1" x14ac:dyDescent="0.25">
      <c r="B191" s="323" t="s">
        <v>651</v>
      </c>
      <c r="C191" s="323"/>
      <c r="D191" s="323"/>
      <c r="E191" s="323"/>
      <c r="F191" s="323"/>
      <c r="G191" s="323"/>
      <c r="H191" s="323"/>
      <c r="I191" s="323"/>
      <c r="O191" s="50"/>
      <c r="S191" s="5"/>
    </row>
    <row r="192" spans="1:19" ht="15.75" x14ac:dyDescent="0.25">
      <c r="A192" s="30"/>
      <c r="C192" s="30"/>
      <c r="K192" s="30"/>
      <c r="N192" s="30"/>
    </row>
    <row r="193" spans="1:19" ht="15.75" x14ac:dyDescent="0.25">
      <c r="A193" s="30"/>
      <c r="C193" s="30"/>
      <c r="K193" s="30"/>
      <c r="N193" s="30"/>
    </row>
    <row r="194" spans="1:19" ht="15.75" x14ac:dyDescent="0.25">
      <c r="A194" s="30"/>
      <c r="C194" s="30"/>
      <c r="K194" s="30"/>
      <c r="N194" s="30"/>
    </row>
    <row r="195" spans="1:19" x14ac:dyDescent="0.25">
      <c r="A195" s="3"/>
      <c r="B195" s="3"/>
      <c r="C195" s="3"/>
      <c r="D195" s="3"/>
      <c r="E195" s="4" t="s">
        <v>204</v>
      </c>
      <c r="F195" s="3"/>
      <c r="G195" s="3"/>
      <c r="H195" s="3"/>
      <c r="I195" s="3"/>
      <c r="K195" s="3"/>
      <c r="L195" s="3"/>
      <c r="M195" s="3"/>
      <c r="N195" s="3"/>
      <c r="O195" s="4" t="s">
        <v>204</v>
      </c>
      <c r="P195" s="3"/>
      <c r="Q195" s="3"/>
      <c r="R195" s="3"/>
      <c r="S195" s="3"/>
    </row>
    <row r="196" spans="1:19" x14ac:dyDescent="0.25">
      <c r="A196" s="3" t="s">
        <v>205</v>
      </c>
      <c r="B196" s="3"/>
      <c r="C196" s="3"/>
      <c r="D196" s="3" t="s">
        <v>413</v>
      </c>
      <c r="E196" s="3"/>
      <c r="F196" s="3"/>
      <c r="G196" s="3"/>
      <c r="H196" s="3"/>
      <c r="I196" s="3"/>
      <c r="K196" s="3" t="s">
        <v>205</v>
      </c>
      <c r="L196" s="3"/>
      <c r="M196" s="3"/>
      <c r="N196" s="3" t="s">
        <v>414</v>
      </c>
      <c r="O196" s="3"/>
      <c r="P196" s="3"/>
      <c r="Q196" s="3"/>
      <c r="R196" s="3"/>
      <c r="S196" s="3"/>
    </row>
    <row r="197" spans="1:19" x14ac:dyDescent="0.25">
      <c r="A197" s="3"/>
      <c r="B197" s="5" t="s">
        <v>440</v>
      </c>
      <c r="C197" s="3"/>
      <c r="D197" s="3"/>
      <c r="E197" s="3"/>
      <c r="F197" s="3"/>
      <c r="G197" s="3"/>
      <c r="H197" s="3"/>
      <c r="I197" s="3"/>
      <c r="K197" s="3"/>
      <c r="L197" s="5" t="s">
        <v>440</v>
      </c>
      <c r="M197" s="3"/>
      <c r="N197" s="3"/>
      <c r="O197" s="3"/>
      <c r="P197" s="3"/>
      <c r="Q197" s="3"/>
      <c r="R197" s="3"/>
      <c r="S197" s="3"/>
    </row>
    <row r="198" spans="1:19" ht="15" customHeight="1" x14ac:dyDescent="0.25">
      <c r="A198" s="3"/>
      <c r="B198" s="5" t="s">
        <v>206</v>
      </c>
      <c r="C198" s="3"/>
      <c r="D198" s="3"/>
      <c r="E198" s="3"/>
      <c r="F198" s="3">
        <v>397.8</v>
      </c>
      <c r="G198" s="3" t="s">
        <v>207</v>
      </c>
      <c r="H198" s="3"/>
      <c r="I198" s="3"/>
      <c r="K198" s="3"/>
      <c r="L198" s="5" t="s">
        <v>206</v>
      </c>
      <c r="M198" s="3"/>
      <c r="N198" s="3"/>
      <c r="O198" s="3"/>
      <c r="P198" s="3">
        <v>405.3</v>
      </c>
      <c r="Q198" s="3" t="s">
        <v>207</v>
      </c>
      <c r="R198" s="3"/>
      <c r="S198" s="3"/>
    </row>
    <row r="199" spans="1:19" ht="18" customHeight="1" thickBot="1" x14ac:dyDescent="0.3">
      <c r="A199" s="3"/>
      <c r="B199" s="3"/>
      <c r="C199" s="3"/>
      <c r="D199" s="4"/>
      <c r="E199" s="4"/>
      <c r="F199" s="3"/>
      <c r="G199" s="3"/>
      <c r="H199" s="3"/>
      <c r="I199" s="3"/>
      <c r="J199" s="3"/>
      <c r="K199" s="3"/>
      <c r="L199" s="3"/>
      <c r="M199" s="3"/>
      <c r="N199" s="4"/>
      <c r="O199" s="4"/>
      <c r="P199" s="3"/>
      <c r="Q199" s="3"/>
      <c r="R199" s="3"/>
      <c r="S199" s="3"/>
    </row>
    <row r="200" spans="1:19" ht="15" customHeight="1" x14ac:dyDescent="0.25">
      <c r="A200" s="175" t="s">
        <v>209</v>
      </c>
      <c r="B200" s="177" t="s">
        <v>210</v>
      </c>
      <c r="C200" s="178"/>
      <c r="D200" s="178"/>
      <c r="E200" s="178"/>
      <c r="F200" s="178"/>
      <c r="G200" s="180" t="s">
        <v>442</v>
      </c>
      <c r="H200" s="181"/>
      <c r="I200" s="175" t="s">
        <v>212</v>
      </c>
      <c r="J200" s="3"/>
      <c r="K200" s="175" t="s">
        <v>209</v>
      </c>
      <c r="L200" s="177" t="s">
        <v>210</v>
      </c>
      <c r="M200" s="178"/>
      <c r="N200" s="178"/>
      <c r="O200" s="178"/>
      <c r="P200" s="178"/>
      <c r="Q200" s="180" t="s">
        <v>442</v>
      </c>
      <c r="R200" s="181"/>
      <c r="S200" s="175" t="s">
        <v>212</v>
      </c>
    </row>
    <row r="201" spans="1:19" ht="46.5" customHeight="1" thickBot="1" x14ac:dyDescent="0.3">
      <c r="A201" s="176"/>
      <c r="B201" s="179"/>
      <c r="C201" s="179"/>
      <c r="D201" s="179"/>
      <c r="E201" s="179"/>
      <c r="F201" s="179"/>
      <c r="G201" s="182"/>
      <c r="H201" s="183"/>
      <c r="I201" s="184"/>
      <c r="J201" s="3"/>
      <c r="K201" s="176"/>
      <c r="L201" s="179"/>
      <c r="M201" s="179"/>
      <c r="N201" s="179"/>
      <c r="O201" s="179"/>
      <c r="P201" s="179"/>
      <c r="Q201" s="182"/>
      <c r="R201" s="183"/>
      <c r="S201" s="184"/>
    </row>
    <row r="202" spans="1:19" ht="15" customHeight="1" x14ac:dyDescent="0.25">
      <c r="A202" s="185" t="s">
        <v>213</v>
      </c>
      <c r="B202" s="187" t="s">
        <v>354</v>
      </c>
      <c r="C202" s="188"/>
      <c r="D202" s="188"/>
      <c r="E202" s="188"/>
      <c r="F202" s="188"/>
      <c r="G202" s="190">
        <v>44169.82</v>
      </c>
      <c r="H202" s="191"/>
      <c r="I202" s="192"/>
      <c r="J202" s="51"/>
      <c r="K202" s="185" t="s">
        <v>213</v>
      </c>
      <c r="L202" s="187" t="s">
        <v>354</v>
      </c>
      <c r="M202" s="188"/>
      <c r="N202" s="188"/>
      <c r="O202" s="188"/>
      <c r="P202" s="188"/>
      <c r="Q202" s="190">
        <v>136969.65</v>
      </c>
      <c r="R202" s="191"/>
      <c r="S202" s="192"/>
    </row>
    <row r="203" spans="1:19" ht="13.5" customHeight="1" thickBot="1" x14ac:dyDescent="0.3">
      <c r="A203" s="186"/>
      <c r="B203" s="189"/>
      <c r="C203" s="189"/>
      <c r="D203" s="189"/>
      <c r="E203" s="189"/>
      <c r="F203" s="189"/>
      <c r="G203" s="193"/>
      <c r="H203" s="194"/>
      <c r="I203" s="128"/>
      <c r="J203" s="52"/>
      <c r="K203" s="186"/>
      <c r="L203" s="189"/>
      <c r="M203" s="189"/>
      <c r="N203" s="189"/>
      <c r="O203" s="189"/>
      <c r="P203" s="189"/>
      <c r="Q203" s="193"/>
      <c r="R203" s="194"/>
      <c r="S203" s="128"/>
    </row>
    <row r="204" spans="1:19" ht="13.5" customHeight="1" x14ac:dyDescent="0.25">
      <c r="A204" s="6"/>
      <c r="B204" s="161" t="s">
        <v>214</v>
      </c>
      <c r="C204" s="162"/>
      <c r="D204" s="162"/>
      <c r="E204" s="162"/>
      <c r="F204" s="162"/>
      <c r="G204" s="163">
        <f>0.99*12*F198</f>
        <v>4725.8639999999996</v>
      </c>
      <c r="H204" s="164"/>
      <c r="I204" s="169" t="s">
        <v>215</v>
      </c>
      <c r="J204" s="63"/>
      <c r="K204" s="6"/>
      <c r="L204" s="161" t="s">
        <v>214</v>
      </c>
      <c r="M204" s="162"/>
      <c r="N204" s="162"/>
      <c r="O204" s="162"/>
      <c r="P204" s="162"/>
      <c r="Q204" s="163">
        <f>0.88*12*P198</f>
        <v>4279.9680000000008</v>
      </c>
      <c r="R204" s="164"/>
      <c r="S204" s="169" t="s">
        <v>215</v>
      </c>
    </row>
    <row r="205" spans="1:19" ht="30" customHeight="1" thickBot="1" x14ac:dyDescent="0.3">
      <c r="A205" s="7"/>
      <c r="B205" s="171" t="s">
        <v>216</v>
      </c>
      <c r="C205" s="172"/>
      <c r="D205" s="172"/>
      <c r="E205" s="172"/>
      <c r="F205" s="172"/>
      <c r="G205" s="165"/>
      <c r="H205" s="166"/>
      <c r="I205" s="170"/>
      <c r="J205" s="43"/>
      <c r="K205" s="7"/>
      <c r="L205" s="171" t="s">
        <v>216</v>
      </c>
      <c r="M205" s="172"/>
      <c r="N205" s="172"/>
      <c r="O205" s="172"/>
      <c r="P205" s="172"/>
      <c r="Q205" s="165"/>
      <c r="R205" s="166"/>
      <c r="S205" s="170"/>
    </row>
    <row r="206" spans="1:19" ht="13.5" customHeight="1" thickBot="1" x14ac:dyDescent="0.3">
      <c r="A206" s="7"/>
      <c r="B206" s="173" t="s">
        <v>217</v>
      </c>
      <c r="C206" s="174"/>
      <c r="D206" s="174"/>
      <c r="E206" s="174"/>
      <c r="F206" s="174"/>
      <c r="G206" s="167"/>
      <c r="H206" s="168"/>
      <c r="I206" s="8" t="s">
        <v>218</v>
      </c>
      <c r="J206" s="42"/>
      <c r="K206" s="7"/>
      <c r="L206" s="173" t="s">
        <v>217</v>
      </c>
      <c r="M206" s="174"/>
      <c r="N206" s="174"/>
      <c r="O206" s="174"/>
      <c r="P206" s="174"/>
      <c r="Q206" s="167"/>
      <c r="R206" s="168"/>
      <c r="S206" s="8" t="s">
        <v>218</v>
      </c>
    </row>
    <row r="207" spans="1:19" ht="13.5" customHeight="1" thickBot="1" x14ac:dyDescent="0.3">
      <c r="A207" s="7"/>
      <c r="B207" s="141" t="s">
        <v>219</v>
      </c>
      <c r="C207" s="142"/>
      <c r="D207" s="142"/>
      <c r="E207" s="142"/>
      <c r="F207" s="142"/>
      <c r="G207" s="143">
        <v>0</v>
      </c>
      <c r="H207" s="144"/>
      <c r="I207" s="8" t="s">
        <v>220</v>
      </c>
      <c r="J207" s="43"/>
      <c r="K207" s="7"/>
      <c r="L207" s="141" t="s">
        <v>219</v>
      </c>
      <c r="M207" s="142"/>
      <c r="N207" s="142"/>
      <c r="O207" s="142"/>
      <c r="P207" s="142"/>
      <c r="Q207" s="143">
        <v>0</v>
      </c>
      <c r="R207" s="144"/>
      <c r="S207" s="8" t="s">
        <v>220</v>
      </c>
    </row>
    <row r="208" spans="1:19" ht="13.5" customHeight="1" thickBot="1" x14ac:dyDescent="0.3">
      <c r="A208" s="7"/>
      <c r="B208" s="141" t="s">
        <v>221</v>
      </c>
      <c r="C208" s="142"/>
      <c r="D208" s="142"/>
      <c r="E208" s="142"/>
      <c r="F208" s="142"/>
      <c r="G208" s="143">
        <f>0.15*12*F198</f>
        <v>716.04</v>
      </c>
      <c r="H208" s="144"/>
      <c r="I208" s="8" t="s">
        <v>222</v>
      </c>
      <c r="J208" s="55"/>
      <c r="K208" s="7"/>
      <c r="L208" s="141" t="s">
        <v>221</v>
      </c>
      <c r="M208" s="142"/>
      <c r="N208" s="142"/>
      <c r="O208" s="142"/>
      <c r="P208" s="142"/>
      <c r="Q208" s="143">
        <f>0.15*P198</f>
        <v>60.795000000000002</v>
      </c>
      <c r="R208" s="144"/>
      <c r="S208" s="8" t="s">
        <v>222</v>
      </c>
    </row>
    <row r="209" spans="1:19" ht="13.5" customHeight="1" x14ac:dyDescent="0.25">
      <c r="A209" s="9"/>
      <c r="B209" s="145" t="s">
        <v>223</v>
      </c>
      <c r="C209" s="146"/>
      <c r="D209" s="146"/>
      <c r="E209" s="146"/>
      <c r="F209" s="146"/>
      <c r="G209" s="86">
        <f>1.09*12*F198</f>
        <v>5203.2240000000011</v>
      </c>
      <c r="H209" s="147"/>
      <c r="I209" s="152" t="s">
        <v>224</v>
      </c>
      <c r="J209" s="56"/>
      <c r="K209" s="9"/>
      <c r="L209" s="145" t="s">
        <v>223</v>
      </c>
      <c r="M209" s="146"/>
      <c r="N209" s="146"/>
      <c r="O209" s="146"/>
      <c r="P209" s="146"/>
      <c r="Q209" s="86">
        <f>1.13*12*P198</f>
        <v>5495.8679999999995</v>
      </c>
      <c r="R209" s="147"/>
      <c r="S209" s="152" t="s">
        <v>224</v>
      </c>
    </row>
    <row r="210" spans="1:19" ht="13.5" customHeight="1" x14ac:dyDescent="0.25">
      <c r="A210" s="10"/>
      <c r="B210" s="155" t="s">
        <v>226</v>
      </c>
      <c r="C210" s="156"/>
      <c r="D210" s="156"/>
      <c r="E210" s="156"/>
      <c r="F210" s="156"/>
      <c r="G210" s="148"/>
      <c r="H210" s="149"/>
      <c r="I210" s="153"/>
      <c r="J210" s="56"/>
      <c r="K210" s="10"/>
      <c r="L210" s="155" t="s">
        <v>226</v>
      </c>
      <c r="M210" s="156"/>
      <c r="N210" s="156"/>
      <c r="O210" s="156"/>
      <c r="P210" s="156"/>
      <c r="Q210" s="148"/>
      <c r="R210" s="149"/>
      <c r="S210" s="153"/>
    </row>
    <row r="211" spans="1:19" ht="13.5" customHeight="1" thickBot="1" x14ac:dyDescent="0.3">
      <c r="A211" s="10"/>
      <c r="B211" s="157" t="s">
        <v>227</v>
      </c>
      <c r="C211" s="158"/>
      <c r="D211" s="158"/>
      <c r="E211" s="158"/>
      <c r="F211" s="158"/>
      <c r="G211" s="148"/>
      <c r="H211" s="149"/>
      <c r="I211" s="154"/>
      <c r="J211" s="56"/>
      <c r="K211" s="10"/>
      <c r="L211" s="157" t="s">
        <v>227</v>
      </c>
      <c r="M211" s="158"/>
      <c r="N211" s="158"/>
      <c r="O211" s="158"/>
      <c r="P211" s="158"/>
      <c r="Q211" s="148"/>
      <c r="R211" s="149"/>
      <c r="S211" s="154"/>
    </row>
    <row r="212" spans="1:19" ht="13.5" customHeight="1" thickBot="1" x14ac:dyDescent="0.3">
      <c r="A212" s="10"/>
      <c r="B212" s="159" t="s">
        <v>228</v>
      </c>
      <c r="C212" s="160"/>
      <c r="D212" s="160"/>
      <c r="E212" s="160"/>
      <c r="F212" s="160"/>
      <c r="G212" s="150"/>
      <c r="H212" s="151"/>
      <c r="I212" s="11" t="s">
        <v>229</v>
      </c>
      <c r="J212" s="57"/>
      <c r="K212" s="10"/>
      <c r="L212" s="159" t="s">
        <v>228</v>
      </c>
      <c r="M212" s="160"/>
      <c r="N212" s="160"/>
      <c r="O212" s="160"/>
      <c r="P212" s="160"/>
      <c r="Q212" s="150"/>
      <c r="R212" s="151"/>
      <c r="S212" s="11" t="s">
        <v>229</v>
      </c>
    </row>
    <row r="213" spans="1:19" ht="15.75" customHeight="1" x14ac:dyDescent="0.25">
      <c r="A213" s="12"/>
      <c r="B213" s="125" t="s">
        <v>230</v>
      </c>
      <c r="C213" s="126"/>
      <c r="D213" s="126"/>
      <c r="E213" s="126"/>
      <c r="F213" s="126"/>
      <c r="G213" s="86">
        <v>0</v>
      </c>
      <c r="H213" s="87"/>
      <c r="I213" s="129" t="s">
        <v>220</v>
      </c>
      <c r="J213" s="43"/>
      <c r="K213" s="12"/>
      <c r="L213" s="125" t="s">
        <v>230</v>
      </c>
      <c r="M213" s="126"/>
      <c r="N213" s="126"/>
      <c r="O213" s="126"/>
      <c r="P213" s="126"/>
      <c r="Q213" s="86">
        <v>0</v>
      </c>
      <c r="R213" s="87"/>
      <c r="S213" s="129" t="s">
        <v>220</v>
      </c>
    </row>
    <row r="214" spans="1:19" ht="15.75" customHeight="1" thickBot="1" x14ac:dyDescent="0.3">
      <c r="A214" s="7"/>
      <c r="B214" s="131" t="s">
        <v>231</v>
      </c>
      <c r="C214" s="132"/>
      <c r="D214" s="132"/>
      <c r="E214" s="132"/>
      <c r="F214" s="132"/>
      <c r="G214" s="127"/>
      <c r="H214" s="128"/>
      <c r="I214" s="130"/>
      <c r="J214" s="43"/>
      <c r="K214" s="7"/>
      <c r="L214" s="131" t="s">
        <v>231</v>
      </c>
      <c r="M214" s="132"/>
      <c r="N214" s="132"/>
      <c r="O214" s="132"/>
      <c r="P214" s="132"/>
      <c r="Q214" s="127"/>
      <c r="R214" s="128"/>
      <c r="S214" s="130"/>
    </row>
    <row r="215" spans="1:19" ht="15.75" customHeight="1" thickBot="1" x14ac:dyDescent="0.3">
      <c r="A215" s="13"/>
      <c r="B215" s="133" t="s">
        <v>232</v>
      </c>
      <c r="C215" s="134"/>
      <c r="D215" s="134"/>
      <c r="E215" s="134"/>
      <c r="F215" s="134"/>
      <c r="G215" s="135"/>
      <c r="H215" s="136"/>
      <c r="I215" s="14"/>
      <c r="J215" s="43"/>
      <c r="K215" s="13"/>
      <c r="L215" s="133" t="s">
        <v>232</v>
      </c>
      <c r="M215" s="134"/>
      <c r="N215" s="134"/>
      <c r="O215" s="134"/>
      <c r="P215" s="134"/>
      <c r="Q215" s="135"/>
      <c r="R215" s="136"/>
      <c r="S215" s="14"/>
    </row>
    <row r="216" spans="1:19" ht="15.75" thickBot="1" x14ac:dyDescent="0.3">
      <c r="A216" s="13"/>
      <c r="B216" s="84" t="s">
        <v>233</v>
      </c>
      <c r="C216" s="85"/>
      <c r="D216" s="85"/>
      <c r="E216" s="85"/>
      <c r="F216" s="85"/>
      <c r="G216" s="86">
        <f>1.15*12*F198</f>
        <v>5489.6399999999994</v>
      </c>
      <c r="H216" s="87"/>
      <c r="I216" s="92" t="s">
        <v>654</v>
      </c>
      <c r="J216" s="58"/>
      <c r="K216" s="13"/>
      <c r="L216" s="84" t="s">
        <v>233</v>
      </c>
      <c r="M216" s="85"/>
      <c r="N216" s="85"/>
      <c r="O216" s="85"/>
      <c r="P216" s="85"/>
      <c r="Q216" s="86">
        <f>5.21*1*P198</f>
        <v>2111.6129999999998</v>
      </c>
      <c r="R216" s="87"/>
      <c r="S216" s="92" t="s">
        <v>655</v>
      </c>
    </row>
    <row r="217" spans="1:19" ht="30.75" customHeight="1" x14ac:dyDescent="0.25">
      <c r="A217" s="118"/>
      <c r="B217" s="121" t="s">
        <v>226</v>
      </c>
      <c r="C217" s="122"/>
      <c r="D217" s="122"/>
      <c r="E217" s="122"/>
      <c r="F217" s="122"/>
      <c r="G217" s="88"/>
      <c r="H217" s="89"/>
      <c r="I217" s="93"/>
      <c r="J217" s="41"/>
      <c r="K217" s="118"/>
      <c r="L217" s="121" t="s">
        <v>226</v>
      </c>
      <c r="M217" s="122"/>
      <c r="N217" s="122"/>
      <c r="O217" s="122"/>
      <c r="P217" s="122"/>
      <c r="Q217" s="88"/>
      <c r="R217" s="89"/>
      <c r="S217" s="93"/>
    </row>
    <row r="218" spans="1:19" ht="17.100000000000001" customHeight="1" x14ac:dyDescent="0.25">
      <c r="A218" s="119"/>
      <c r="B218" s="121" t="s">
        <v>227</v>
      </c>
      <c r="C218" s="122"/>
      <c r="D218" s="122"/>
      <c r="E218" s="122"/>
      <c r="F218" s="122"/>
      <c r="G218" s="88"/>
      <c r="H218" s="89"/>
      <c r="I218" s="93"/>
      <c r="J218" s="41"/>
      <c r="K218" s="119"/>
      <c r="L218" s="121" t="s">
        <v>227</v>
      </c>
      <c r="M218" s="122"/>
      <c r="N218" s="122"/>
      <c r="O218" s="122"/>
      <c r="P218" s="122"/>
      <c r="Q218" s="88"/>
      <c r="R218" s="89"/>
      <c r="S218" s="93"/>
    </row>
    <row r="219" spans="1:19" ht="14.1" customHeight="1" x14ac:dyDescent="0.25">
      <c r="A219" s="119"/>
      <c r="B219" s="121" t="s">
        <v>228</v>
      </c>
      <c r="C219" s="122"/>
      <c r="D219" s="122"/>
      <c r="E219" s="122"/>
      <c r="F219" s="122"/>
      <c r="G219" s="88"/>
      <c r="H219" s="89"/>
      <c r="I219" s="93"/>
      <c r="J219" s="41"/>
      <c r="K219" s="119"/>
      <c r="L219" s="121" t="s">
        <v>228</v>
      </c>
      <c r="M219" s="122"/>
      <c r="N219" s="122"/>
      <c r="O219" s="122"/>
      <c r="P219" s="122"/>
      <c r="Q219" s="88"/>
      <c r="R219" s="89"/>
      <c r="S219" s="93"/>
    </row>
    <row r="220" spans="1:19" ht="38.25" customHeight="1" thickBot="1" x14ac:dyDescent="0.3">
      <c r="A220" s="120"/>
      <c r="B220" s="123" t="s">
        <v>234</v>
      </c>
      <c r="C220" s="124"/>
      <c r="D220" s="124"/>
      <c r="E220" s="124"/>
      <c r="F220" s="124"/>
      <c r="G220" s="90"/>
      <c r="H220" s="91"/>
      <c r="I220" s="94"/>
      <c r="J220" s="41"/>
      <c r="K220" s="120"/>
      <c r="L220" s="123" t="s">
        <v>234</v>
      </c>
      <c r="M220" s="124"/>
      <c r="N220" s="124"/>
      <c r="O220" s="124"/>
      <c r="P220" s="124"/>
      <c r="Q220" s="90"/>
      <c r="R220" s="91"/>
      <c r="S220" s="94"/>
    </row>
    <row r="221" spans="1:19" ht="15" hidden="1" customHeight="1" x14ac:dyDescent="0.25">
      <c r="A221" s="15"/>
      <c r="B221" s="137" t="s">
        <v>248</v>
      </c>
      <c r="C221" s="138"/>
      <c r="D221" s="138"/>
      <c r="E221" s="138"/>
      <c r="F221" s="138"/>
      <c r="G221" s="139"/>
      <c r="H221" s="140"/>
      <c r="I221" s="16"/>
      <c r="J221" s="42"/>
      <c r="K221" s="15"/>
      <c r="L221" s="137" t="s">
        <v>248</v>
      </c>
      <c r="M221" s="138"/>
      <c r="N221" s="138"/>
      <c r="O221" s="138"/>
      <c r="P221" s="138"/>
      <c r="Q221" s="139"/>
      <c r="R221" s="140"/>
      <c r="S221" s="16"/>
    </row>
    <row r="222" spans="1:19" ht="30" hidden="1" customHeight="1" x14ac:dyDescent="0.25">
      <c r="A222" s="15"/>
      <c r="B222" s="137" t="s">
        <v>235</v>
      </c>
      <c r="C222" s="138"/>
      <c r="D222" s="138"/>
      <c r="E222" s="138"/>
      <c r="F222" s="138"/>
      <c r="G222" s="139"/>
      <c r="H222" s="140"/>
      <c r="I222" s="16"/>
      <c r="J222" s="43"/>
      <c r="K222" s="15"/>
      <c r="L222" s="137" t="s">
        <v>235</v>
      </c>
      <c r="M222" s="138"/>
      <c r="N222" s="138"/>
      <c r="O222" s="138"/>
      <c r="P222" s="138"/>
      <c r="Q222" s="139"/>
      <c r="R222" s="140"/>
      <c r="S222" s="16"/>
    </row>
    <row r="223" spans="1:19" ht="41.25" customHeight="1" thickBot="1" x14ac:dyDescent="0.3">
      <c r="A223" s="17"/>
      <c r="B223" s="78" t="s">
        <v>237</v>
      </c>
      <c r="C223" s="79"/>
      <c r="D223" s="79"/>
      <c r="E223" s="79"/>
      <c r="F223" s="79"/>
      <c r="G223" s="86">
        <v>7955</v>
      </c>
      <c r="H223" s="87"/>
      <c r="I223" s="108" t="s">
        <v>229</v>
      </c>
      <c r="J223" s="59"/>
      <c r="K223" s="17"/>
      <c r="L223" s="78" t="s">
        <v>237</v>
      </c>
      <c r="M223" s="79"/>
      <c r="N223" s="79"/>
      <c r="O223" s="79"/>
      <c r="P223" s="79"/>
      <c r="Q223" s="86">
        <v>7955</v>
      </c>
      <c r="R223" s="87"/>
      <c r="S223" s="108" t="s">
        <v>229</v>
      </c>
    </row>
    <row r="224" spans="1:19" ht="15.75" thickBot="1" x14ac:dyDescent="0.3">
      <c r="A224" s="18"/>
      <c r="B224" s="110" t="s">
        <v>238</v>
      </c>
      <c r="C224" s="111"/>
      <c r="D224" s="111"/>
      <c r="E224" s="111"/>
      <c r="F224" s="111"/>
      <c r="G224" s="90"/>
      <c r="H224" s="91"/>
      <c r="I224" s="109"/>
      <c r="J224" s="59"/>
      <c r="K224" s="18"/>
      <c r="L224" s="110" t="s">
        <v>238</v>
      </c>
      <c r="M224" s="111"/>
      <c r="N224" s="111"/>
      <c r="O224" s="111"/>
      <c r="P224" s="111"/>
      <c r="Q224" s="90"/>
      <c r="R224" s="91"/>
      <c r="S224" s="109"/>
    </row>
    <row r="225" spans="1:19" ht="15.75" customHeight="1" thickBot="1" x14ac:dyDescent="0.3">
      <c r="A225" s="19"/>
      <c r="B225" s="112" t="s">
        <v>239</v>
      </c>
      <c r="C225" s="113"/>
      <c r="D225" s="113"/>
      <c r="E225" s="113"/>
      <c r="F225" s="113"/>
      <c r="G225" s="114">
        <f>SUM(G204:H224)</f>
        <v>24089.768</v>
      </c>
      <c r="H225" s="115"/>
      <c r="I225" s="20"/>
      <c r="J225" s="58"/>
      <c r="K225" s="19"/>
      <c r="L225" s="112" t="s">
        <v>239</v>
      </c>
      <c r="M225" s="113"/>
      <c r="N225" s="113"/>
      <c r="O225" s="113"/>
      <c r="P225" s="113"/>
      <c r="Q225" s="114">
        <f>SUM(Q204:R224)</f>
        <v>19903.243999999999</v>
      </c>
      <c r="R225" s="115"/>
      <c r="S225" s="20"/>
    </row>
    <row r="226" spans="1:19" ht="27" customHeight="1" thickBot="1" x14ac:dyDescent="0.3">
      <c r="A226" s="21"/>
      <c r="B226" s="101" t="s">
        <v>240</v>
      </c>
      <c r="C226" s="102"/>
      <c r="D226" s="102"/>
      <c r="E226" s="102"/>
      <c r="F226" s="102"/>
      <c r="G226" s="116">
        <f>G225*1.2</f>
        <v>28907.721600000001</v>
      </c>
      <c r="H226" s="117"/>
      <c r="I226" s="22"/>
      <c r="J226" s="45"/>
      <c r="K226" s="21"/>
      <c r="L226" s="101" t="s">
        <v>240</v>
      </c>
      <c r="M226" s="102"/>
      <c r="N226" s="102"/>
      <c r="O226" s="102"/>
      <c r="P226" s="102"/>
      <c r="Q226" s="116">
        <f>Q225*1.2</f>
        <v>23883.892799999998</v>
      </c>
      <c r="R226" s="117"/>
      <c r="S226" s="22"/>
    </row>
    <row r="227" spans="1:19" ht="27" customHeight="1" thickBot="1" x14ac:dyDescent="0.3">
      <c r="A227" s="24"/>
      <c r="B227" s="96" t="s">
        <v>443</v>
      </c>
      <c r="C227" s="97"/>
      <c r="D227" s="97"/>
      <c r="E227" s="97"/>
      <c r="F227" s="97"/>
      <c r="G227" s="311">
        <v>28201.08</v>
      </c>
      <c r="H227" s="312"/>
      <c r="I227" s="313"/>
      <c r="J227" s="41"/>
      <c r="K227" s="24"/>
      <c r="L227" s="96" t="s">
        <v>443</v>
      </c>
      <c r="M227" s="97"/>
      <c r="N227" s="97"/>
      <c r="O227" s="97"/>
      <c r="P227" s="97"/>
      <c r="Q227" s="311">
        <v>26751.84</v>
      </c>
      <c r="R227" s="312"/>
      <c r="S227" s="313"/>
    </row>
    <row r="228" spans="1:19" ht="27" customHeight="1" thickBot="1" x14ac:dyDescent="0.3">
      <c r="A228" s="19"/>
      <c r="B228" s="101" t="s">
        <v>242</v>
      </c>
      <c r="C228" s="102"/>
      <c r="D228" s="102"/>
      <c r="E228" s="102"/>
      <c r="F228" s="102"/>
      <c r="G228" s="307">
        <v>42253.57</v>
      </c>
      <c r="H228" s="308"/>
      <c r="I228" s="309"/>
      <c r="J228" s="41"/>
      <c r="K228" s="19"/>
      <c r="L228" s="101" t="s">
        <v>242</v>
      </c>
      <c r="M228" s="102"/>
      <c r="N228" s="102"/>
      <c r="O228" s="102"/>
      <c r="P228" s="102"/>
      <c r="Q228" s="307">
        <v>22428.28</v>
      </c>
      <c r="R228" s="308"/>
      <c r="S228" s="309"/>
    </row>
    <row r="229" spans="1:19" ht="27" customHeight="1" thickBot="1" x14ac:dyDescent="0.3">
      <c r="A229" s="19"/>
      <c r="B229" s="106" t="s">
        <v>444</v>
      </c>
      <c r="C229" s="107"/>
      <c r="D229" s="107"/>
      <c r="E229" s="107"/>
      <c r="F229" s="107"/>
      <c r="G229" s="307">
        <v>30177.33</v>
      </c>
      <c r="H229" s="308"/>
      <c r="I229" s="309"/>
      <c r="J229" s="64"/>
      <c r="K229" s="19"/>
      <c r="L229" s="106" t="s">
        <v>444</v>
      </c>
      <c r="M229" s="107"/>
      <c r="N229" s="107"/>
      <c r="O229" s="107"/>
      <c r="P229" s="107"/>
      <c r="Q229" s="307">
        <v>18020.21</v>
      </c>
      <c r="R229" s="308"/>
      <c r="S229" s="309"/>
    </row>
    <row r="230" spans="1:19" x14ac:dyDescent="0.25">
      <c r="A230" s="4"/>
      <c r="B230" s="73"/>
      <c r="C230" s="73"/>
      <c r="D230" s="73"/>
      <c r="E230" s="73"/>
      <c r="F230" s="73"/>
      <c r="G230" s="73"/>
      <c r="H230" s="73"/>
      <c r="I230" s="73"/>
      <c r="K230" s="4"/>
      <c r="L230" s="74"/>
      <c r="M230" s="74"/>
      <c r="N230" s="74"/>
      <c r="O230" s="74"/>
      <c r="P230" s="74"/>
      <c r="Q230" s="74"/>
      <c r="R230" s="74"/>
      <c r="S230" s="74"/>
    </row>
    <row r="231" spans="1:19" ht="15.75" x14ac:dyDescent="0.25">
      <c r="A231" s="30"/>
      <c r="C231" s="30"/>
    </row>
    <row r="232" spans="1:19" ht="15.75" x14ac:dyDescent="0.25">
      <c r="C232" s="30"/>
    </row>
    <row r="234" spans="1:19" x14ac:dyDescent="0.25">
      <c r="A234" s="3"/>
      <c r="B234" s="3"/>
      <c r="C234" s="3"/>
      <c r="D234" s="3"/>
      <c r="E234" s="4" t="s">
        <v>204</v>
      </c>
      <c r="F234" s="3"/>
      <c r="G234" s="3"/>
      <c r="H234" s="3"/>
      <c r="I234" s="3"/>
      <c r="K234" s="3"/>
      <c r="L234" s="3"/>
      <c r="M234" s="3"/>
      <c r="N234" s="3"/>
      <c r="O234" s="4" t="s">
        <v>204</v>
      </c>
      <c r="P234" s="3"/>
      <c r="Q234" s="3"/>
      <c r="R234" s="3"/>
      <c r="S234" s="3"/>
    </row>
    <row r="235" spans="1:19" x14ac:dyDescent="0.25">
      <c r="A235" s="3" t="s">
        <v>205</v>
      </c>
      <c r="B235" s="3"/>
      <c r="C235" s="3"/>
      <c r="D235" s="3" t="s">
        <v>415</v>
      </c>
      <c r="E235" s="3"/>
      <c r="F235" s="3"/>
      <c r="G235" s="3"/>
      <c r="H235" s="3"/>
      <c r="I235" s="3"/>
      <c r="K235" s="3" t="s">
        <v>205</v>
      </c>
      <c r="L235" s="3"/>
      <c r="M235" s="3"/>
      <c r="N235" s="3" t="s">
        <v>416</v>
      </c>
      <c r="O235" s="3"/>
      <c r="P235" s="3"/>
      <c r="Q235" s="3"/>
      <c r="R235" s="3"/>
      <c r="S235" s="3"/>
    </row>
    <row r="236" spans="1:19" ht="15" customHeight="1" x14ac:dyDescent="0.25">
      <c r="A236" s="3"/>
      <c r="B236" s="5" t="s">
        <v>440</v>
      </c>
      <c r="C236" s="3"/>
      <c r="D236" s="3"/>
      <c r="E236" s="3"/>
      <c r="F236" s="3"/>
      <c r="G236" s="3"/>
      <c r="H236" s="3"/>
      <c r="I236" s="3"/>
      <c r="K236" s="3"/>
      <c r="L236" s="5" t="s">
        <v>440</v>
      </c>
      <c r="M236" s="3"/>
      <c r="N236" s="3"/>
      <c r="O236" s="3"/>
      <c r="P236" s="3"/>
      <c r="Q236" s="3"/>
      <c r="R236" s="3"/>
      <c r="S236" s="3"/>
    </row>
    <row r="237" spans="1:19" ht="15" customHeight="1" x14ac:dyDescent="0.25">
      <c r="A237" s="3"/>
      <c r="B237" s="5" t="s">
        <v>206</v>
      </c>
      <c r="C237" s="3"/>
      <c r="D237" s="3"/>
      <c r="E237" s="3"/>
      <c r="F237" s="3">
        <v>375.2</v>
      </c>
      <c r="G237" s="3" t="s">
        <v>207</v>
      </c>
      <c r="H237" s="3"/>
      <c r="I237" s="3"/>
      <c r="K237" s="3"/>
      <c r="L237" s="5" t="s">
        <v>206</v>
      </c>
      <c r="M237" s="3"/>
      <c r="N237" s="3"/>
      <c r="O237" s="3"/>
      <c r="P237" s="3">
        <v>380.5</v>
      </c>
      <c r="Q237" s="3" t="s">
        <v>207</v>
      </c>
      <c r="R237" s="3"/>
      <c r="S237" s="3"/>
    </row>
    <row r="238" spans="1:19" ht="15" customHeight="1" thickBot="1" x14ac:dyDescent="0.3">
      <c r="A238" s="3"/>
      <c r="B238" s="3"/>
      <c r="C238" s="3"/>
      <c r="D238" s="4"/>
      <c r="E238" s="4"/>
      <c r="F238" s="3"/>
      <c r="G238" s="3"/>
      <c r="H238" s="3"/>
      <c r="I238" s="3"/>
      <c r="K238" s="3"/>
      <c r="L238" s="3"/>
      <c r="M238" s="3"/>
      <c r="N238" s="4"/>
      <c r="O238" s="4"/>
      <c r="P238" s="3"/>
      <c r="Q238" s="3"/>
      <c r="R238" s="3"/>
      <c r="S238" s="3"/>
    </row>
    <row r="239" spans="1:19" ht="15" customHeight="1" x14ac:dyDescent="0.25">
      <c r="A239" s="175" t="s">
        <v>209</v>
      </c>
      <c r="B239" s="177" t="s">
        <v>210</v>
      </c>
      <c r="C239" s="178"/>
      <c r="D239" s="178"/>
      <c r="E239" s="178"/>
      <c r="F239" s="178"/>
      <c r="G239" s="180" t="s">
        <v>442</v>
      </c>
      <c r="H239" s="181"/>
      <c r="I239" s="175" t="s">
        <v>212</v>
      </c>
      <c r="K239" s="175" t="s">
        <v>209</v>
      </c>
      <c r="L239" s="177" t="s">
        <v>210</v>
      </c>
      <c r="M239" s="178"/>
      <c r="N239" s="178"/>
      <c r="O239" s="178"/>
      <c r="P239" s="178"/>
      <c r="Q239" s="180" t="s">
        <v>442</v>
      </c>
      <c r="R239" s="181"/>
      <c r="S239" s="175" t="s">
        <v>212</v>
      </c>
    </row>
    <row r="240" spans="1:19" ht="44.25" customHeight="1" thickBot="1" x14ac:dyDescent="0.3">
      <c r="A240" s="176"/>
      <c r="B240" s="179"/>
      <c r="C240" s="179"/>
      <c r="D240" s="179"/>
      <c r="E240" s="179"/>
      <c r="F240" s="179"/>
      <c r="G240" s="182"/>
      <c r="H240" s="183"/>
      <c r="I240" s="184"/>
      <c r="K240" s="176"/>
      <c r="L240" s="179"/>
      <c r="M240" s="179"/>
      <c r="N240" s="179"/>
      <c r="O240" s="179"/>
      <c r="P240" s="179"/>
      <c r="Q240" s="182"/>
      <c r="R240" s="183"/>
      <c r="S240" s="184"/>
    </row>
    <row r="241" spans="1:19" ht="15.75" customHeight="1" x14ac:dyDescent="0.25">
      <c r="A241" s="185" t="s">
        <v>213</v>
      </c>
      <c r="B241" s="187" t="s">
        <v>354</v>
      </c>
      <c r="C241" s="188"/>
      <c r="D241" s="188"/>
      <c r="E241" s="188"/>
      <c r="F241" s="188"/>
      <c r="G241" s="190">
        <v>6842.68</v>
      </c>
      <c r="H241" s="191"/>
      <c r="I241" s="192"/>
      <c r="K241" s="185" t="s">
        <v>213</v>
      </c>
      <c r="L241" s="187" t="s">
        <v>354</v>
      </c>
      <c r="M241" s="188"/>
      <c r="N241" s="188"/>
      <c r="O241" s="188"/>
      <c r="P241" s="188"/>
      <c r="Q241" s="190">
        <v>11267.67</v>
      </c>
      <c r="R241" s="191"/>
      <c r="S241" s="192"/>
    </row>
    <row r="242" spans="1:19" ht="15.75" customHeight="1" thickBot="1" x14ac:dyDescent="0.3">
      <c r="A242" s="186"/>
      <c r="B242" s="189"/>
      <c r="C242" s="189"/>
      <c r="D242" s="189"/>
      <c r="E242" s="189"/>
      <c r="F242" s="189"/>
      <c r="G242" s="193"/>
      <c r="H242" s="194"/>
      <c r="I242" s="128"/>
      <c r="K242" s="186"/>
      <c r="L242" s="189"/>
      <c r="M242" s="189"/>
      <c r="N242" s="189"/>
      <c r="O242" s="189"/>
      <c r="P242" s="189"/>
      <c r="Q242" s="193"/>
      <c r="R242" s="194"/>
      <c r="S242" s="128"/>
    </row>
    <row r="243" spans="1:19" ht="15.75" customHeight="1" x14ac:dyDescent="0.25">
      <c r="A243" s="6"/>
      <c r="B243" s="161" t="s">
        <v>214</v>
      </c>
      <c r="C243" s="162"/>
      <c r="D243" s="162"/>
      <c r="E243" s="162"/>
      <c r="F243" s="162"/>
      <c r="G243" s="163">
        <f>0.9*12*F237</f>
        <v>4052.1600000000003</v>
      </c>
      <c r="H243" s="164"/>
      <c r="I243" s="169" t="s">
        <v>215</v>
      </c>
      <c r="K243" s="6"/>
      <c r="L243" s="161" t="s">
        <v>214</v>
      </c>
      <c r="M243" s="162"/>
      <c r="N243" s="162"/>
      <c r="O243" s="162"/>
      <c r="P243" s="162"/>
      <c r="Q243" s="163">
        <f>0.99*12*P237</f>
        <v>4520.3399999999992</v>
      </c>
      <c r="R243" s="164"/>
      <c r="S243" s="169" t="s">
        <v>215</v>
      </c>
    </row>
    <row r="244" spans="1:19" ht="29.25" customHeight="1" thickBot="1" x14ac:dyDescent="0.3">
      <c r="A244" s="7"/>
      <c r="B244" s="171" t="s">
        <v>216</v>
      </c>
      <c r="C244" s="172"/>
      <c r="D244" s="172"/>
      <c r="E244" s="172"/>
      <c r="F244" s="172"/>
      <c r="G244" s="165"/>
      <c r="H244" s="166"/>
      <c r="I244" s="170"/>
      <c r="K244" s="7"/>
      <c r="L244" s="171" t="s">
        <v>216</v>
      </c>
      <c r="M244" s="172"/>
      <c r="N244" s="172"/>
      <c r="O244" s="172"/>
      <c r="P244" s="172"/>
      <c r="Q244" s="165"/>
      <c r="R244" s="166"/>
      <c r="S244" s="170"/>
    </row>
    <row r="245" spans="1:19" ht="15" customHeight="1" thickBot="1" x14ac:dyDescent="0.3">
      <c r="A245" s="7"/>
      <c r="B245" s="173" t="s">
        <v>217</v>
      </c>
      <c r="C245" s="174"/>
      <c r="D245" s="174"/>
      <c r="E245" s="174"/>
      <c r="F245" s="174"/>
      <c r="G245" s="167"/>
      <c r="H245" s="168"/>
      <c r="I245" s="8" t="s">
        <v>218</v>
      </c>
      <c r="K245" s="7"/>
      <c r="L245" s="173" t="s">
        <v>217</v>
      </c>
      <c r="M245" s="174"/>
      <c r="N245" s="174"/>
      <c r="O245" s="174"/>
      <c r="P245" s="174"/>
      <c r="Q245" s="167"/>
      <c r="R245" s="168"/>
      <c r="S245" s="8" t="s">
        <v>218</v>
      </c>
    </row>
    <row r="246" spans="1:19" ht="15.75" thickBot="1" x14ac:dyDescent="0.3">
      <c r="A246" s="7"/>
      <c r="B246" s="141" t="s">
        <v>219</v>
      </c>
      <c r="C246" s="142"/>
      <c r="D246" s="142"/>
      <c r="E246" s="142"/>
      <c r="F246" s="142"/>
      <c r="G246" s="143">
        <v>0</v>
      </c>
      <c r="H246" s="144"/>
      <c r="I246" s="8" t="s">
        <v>220</v>
      </c>
      <c r="K246" s="7"/>
      <c r="L246" s="141" t="s">
        <v>219</v>
      </c>
      <c r="M246" s="142"/>
      <c r="N246" s="142"/>
      <c r="O246" s="142"/>
      <c r="P246" s="142"/>
      <c r="Q246" s="143">
        <v>0</v>
      </c>
      <c r="R246" s="144"/>
      <c r="S246" s="8" t="s">
        <v>220</v>
      </c>
    </row>
    <row r="247" spans="1:19" ht="15.75" thickBot="1" x14ac:dyDescent="0.3">
      <c r="A247" s="7"/>
      <c r="B247" s="141" t="s">
        <v>221</v>
      </c>
      <c r="C247" s="142"/>
      <c r="D247" s="142"/>
      <c r="E247" s="142"/>
      <c r="F247" s="142"/>
      <c r="G247" s="143">
        <f>0.15*12*F237</f>
        <v>675.3599999999999</v>
      </c>
      <c r="H247" s="144"/>
      <c r="I247" s="8" t="s">
        <v>222</v>
      </c>
      <c r="K247" s="7"/>
      <c r="L247" s="141" t="s">
        <v>221</v>
      </c>
      <c r="M247" s="142"/>
      <c r="N247" s="142"/>
      <c r="O247" s="142"/>
      <c r="P247" s="142"/>
      <c r="Q247" s="143">
        <f>0.15*12*P237</f>
        <v>684.9</v>
      </c>
      <c r="R247" s="144"/>
      <c r="S247" s="8" t="s">
        <v>222</v>
      </c>
    </row>
    <row r="248" spans="1:19" x14ac:dyDescent="0.25">
      <c r="A248" s="9"/>
      <c r="B248" s="145" t="s">
        <v>223</v>
      </c>
      <c r="C248" s="146"/>
      <c r="D248" s="146"/>
      <c r="E248" s="146"/>
      <c r="F248" s="146"/>
      <c r="G248" s="86">
        <f>1.05*12*F237</f>
        <v>4727.5200000000004</v>
      </c>
      <c r="H248" s="147"/>
      <c r="I248" s="152" t="s">
        <v>224</v>
      </c>
      <c r="K248" s="9"/>
      <c r="L248" s="145" t="s">
        <v>223</v>
      </c>
      <c r="M248" s="146"/>
      <c r="N248" s="146"/>
      <c r="O248" s="146"/>
      <c r="P248" s="146"/>
      <c r="Q248" s="86">
        <f>1.49*12*P237</f>
        <v>6803.3399999999992</v>
      </c>
      <c r="R248" s="147"/>
      <c r="S248" s="152" t="s">
        <v>224</v>
      </c>
    </row>
    <row r="249" spans="1:19" x14ac:dyDescent="0.25">
      <c r="A249" s="10"/>
      <c r="B249" s="155" t="s">
        <v>226</v>
      </c>
      <c r="C249" s="156"/>
      <c r="D249" s="156"/>
      <c r="E249" s="156"/>
      <c r="F249" s="156"/>
      <c r="G249" s="148"/>
      <c r="H249" s="149"/>
      <c r="I249" s="153"/>
      <c r="K249" s="10"/>
      <c r="L249" s="155" t="s">
        <v>226</v>
      </c>
      <c r="M249" s="156"/>
      <c r="N249" s="156"/>
      <c r="O249" s="156"/>
      <c r="P249" s="156"/>
      <c r="Q249" s="148"/>
      <c r="R249" s="149"/>
      <c r="S249" s="153"/>
    </row>
    <row r="250" spans="1:19" ht="15.75" thickBot="1" x14ac:dyDescent="0.3">
      <c r="A250" s="10"/>
      <c r="B250" s="157" t="s">
        <v>227</v>
      </c>
      <c r="C250" s="158"/>
      <c r="D250" s="158"/>
      <c r="E250" s="158"/>
      <c r="F250" s="158"/>
      <c r="G250" s="148"/>
      <c r="H250" s="149"/>
      <c r="I250" s="154"/>
      <c r="K250" s="10"/>
      <c r="L250" s="157" t="s">
        <v>227</v>
      </c>
      <c r="M250" s="158"/>
      <c r="N250" s="158"/>
      <c r="O250" s="158"/>
      <c r="P250" s="158"/>
      <c r="Q250" s="148"/>
      <c r="R250" s="149"/>
      <c r="S250" s="154"/>
    </row>
    <row r="251" spans="1:19" ht="15.75" customHeight="1" thickBot="1" x14ac:dyDescent="0.3">
      <c r="A251" s="10"/>
      <c r="B251" s="159" t="s">
        <v>228</v>
      </c>
      <c r="C251" s="160"/>
      <c r="D251" s="160"/>
      <c r="E251" s="160"/>
      <c r="F251" s="160"/>
      <c r="G251" s="150"/>
      <c r="H251" s="151"/>
      <c r="I251" s="11" t="s">
        <v>229</v>
      </c>
      <c r="K251" s="10"/>
      <c r="L251" s="159" t="s">
        <v>228</v>
      </c>
      <c r="M251" s="160"/>
      <c r="N251" s="160"/>
      <c r="O251" s="160"/>
      <c r="P251" s="160"/>
      <c r="Q251" s="150"/>
      <c r="R251" s="151"/>
      <c r="S251" s="11" t="s">
        <v>229</v>
      </c>
    </row>
    <row r="252" spans="1:19" ht="15.75" customHeight="1" x14ac:dyDescent="0.25">
      <c r="A252" s="12"/>
      <c r="B252" s="125" t="s">
        <v>230</v>
      </c>
      <c r="C252" s="126"/>
      <c r="D252" s="126"/>
      <c r="E252" s="126"/>
      <c r="F252" s="126"/>
      <c r="G252" s="86">
        <v>0</v>
      </c>
      <c r="H252" s="87"/>
      <c r="I252" s="129" t="s">
        <v>220</v>
      </c>
      <c r="K252" s="12"/>
      <c r="L252" s="125" t="s">
        <v>230</v>
      </c>
      <c r="M252" s="126"/>
      <c r="N252" s="126"/>
      <c r="O252" s="126"/>
      <c r="P252" s="126"/>
      <c r="Q252" s="86">
        <v>0</v>
      </c>
      <c r="R252" s="87"/>
      <c r="S252" s="129" t="s">
        <v>220</v>
      </c>
    </row>
    <row r="253" spans="1:19" ht="15.75" thickBot="1" x14ac:dyDescent="0.3">
      <c r="A253" s="7"/>
      <c r="B253" s="131" t="s">
        <v>231</v>
      </c>
      <c r="C253" s="132"/>
      <c r="D253" s="132"/>
      <c r="E253" s="132"/>
      <c r="F253" s="132"/>
      <c r="G253" s="127"/>
      <c r="H253" s="128"/>
      <c r="I253" s="130"/>
      <c r="K253" s="7"/>
      <c r="L253" s="131" t="s">
        <v>231</v>
      </c>
      <c r="M253" s="132"/>
      <c r="N253" s="132"/>
      <c r="O253" s="132"/>
      <c r="P253" s="132"/>
      <c r="Q253" s="127"/>
      <c r="R253" s="128"/>
      <c r="S253" s="130"/>
    </row>
    <row r="254" spans="1:19" ht="15.75" thickBot="1" x14ac:dyDescent="0.3">
      <c r="A254" s="13"/>
      <c r="B254" s="133" t="s">
        <v>232</v>
      </c>
      <c r="C254" s="134"/>
      <c r="D254" s="134"/>
      <c r="E254" s="134"/>
      <c r="F254" s="134"/>
      <c r="G254" s="135"/>
      <c r="H254" s="136"/>
      <c r="I254" s="14"/>
      <c r="K254" s="13"/>
      <c r="L254" s="133" t="s">
        <v>232</v>
      </c>
      <c r="M254" s="134"/>
      <c r="N254" s="134"/>
      <c r="O254" s="134"/>
      <c r="P254" s="134"/>
      <c r="Q254" s="135"/>
      <c r="R254" s="136"/>
      <c r="S254" s="14"/>
    </row>
    <row r="255" spans="1:19" ht="15.75" thickBot="1" x14ac:dyDescent="0.3">
      <c r="A255" s="13"/>
      <c r="B255" s="84" t="s">
        <v>233</v>
      </c>
      <c r="C255" s="85"/>
      <c r="D255" s="85"/>
      <c r="E255" s="85"/>
      <c r="F255" s="85"/>
      <c r="G255" s="86">
        <f>1.3*12*F237</f>
        <v>5853.1200000000008</v>
      </c>
      <c r="H255" s="87"/>
      <c r="I255" s="320" t="s">
        <v>656</v>
      </c>
      <c r="K255" s="13"/>
      <c r="L255" s="84" t="s">
        <v>233</v>
      </c>
      <c r="M255" s="85"/>
      <c r="N255" s="85"/>
      <c r="O255" s="85"/>
      <c r="P255" s="85"/>
      <c r="Q255" s="86">
        <f>1.1*12*P237</f>
        <v>5022.6000000000004</v>
      </c>
      <c r="R255" s="87"/>
      <c r="S255" s="320" t="s">
        <v>657</v>
      </c>
    </row>
    <row r="256" spans="1:19" ht="35.25" customHeight="1" x14ac:dyDescent="0.25">
      <c r="A256" s="118"/>
      <c r="B256" s="121" t="s">
        <v>226</v>
      </c>
      <c r="C256" s="122"/>
      <c r="D256" s="122"/>
      <c r="E256" s="122"/>
      <c r="F256" s="122"/>
      <c r="G256" s="88"/>
      <c r="H256" s="89"/>
      <c r="I256" s="321"/>
      <c r="K256" s="118"/>
      <c r="L256" s="121" t="s">
        <v>226</v>
      </c>
      <c r="M256" s="122"/>
      <c r="N256" s="122"/>
      <c r="O256" s="122"/>
      <c r="P256" s="122"/>
      <c r="Q256" s="88"/>
      <c r="R256" s="89"/>
      <c r="S256" s="321"/>
    </row>
    <row r="257" spans="1:19" ht="29.25" customHeight="1" x14ac:dyDescent="0.25">
      <c r="A257" s="119"/>
      <c r="B257" s="121" t="s">
        <v>227</v>
      </c>
      <c r="C257" s="122"/>
      <c r="D257" s="122"/>
      <c r="E257" s="122"/>
      <c r="F257" s="122"/>
      <c r="G257" s="88"/>
      <c r="H257" s="89"/>
      <c r="I257" s="321"/>
      <c r="K257" s="119"/>
      <c r="L257" s="121" t="s">
        <v>227</v>
      </c>
      <c r="M257" s="122"/>
      <c r="N257" s="122"/>
      <c r="O257" s="122"/>
      <c r="P257" s="122"/>
      <c r="Q257" s="88"/>
      <c r="R257" s="89"/>
      <c r="S257" s="321"/>
    </row>
    <row r="258" spans="1:19" ht="40.5" customHeight="1" x14ac:dyDescent="0.25">
      <c r="A258" s="119"/>
      <c r="B258" s="121" t="s">
        <v>228</v>
      </c>
      <c r="C258" s="122"/>
      <c r="D258" s="122"/>
      <c r="E258" s="122"/>
      <c r="F258" s="122"/>
      <c r="G258" s="88"/>
      <c r="H258" s="89"/>
      <c r="I258" s="321"/>
      <c r="K258" s="119"/>
      <c r="L258" s="121" t="s">
        <v>228</v>
      </c>
      <c r="M258" s="122"/>
      <c r="N258" s="122"/>
      <c r="O258" s="122"/>
      <c r="P258" s="122"/>
      <c r="Q258" s="88"/>
      <c r="R258" s="89"/>
      <c r="S258" s="321"/>
    </row>
    <row r="259" spans="1:19" ht="51.75" customHeight="1" thickBot="1" x14ac:dyDescent="0.3">
      <c r="A259" s="120"/>
      <c r="B259" s="123" t="s">
        <v>234</v>
      </c>
      <c r="C259" s="124"/>
      <c r="D259" s="124"/>
      <c r="E259" s="124"/>
      <c r="F259" s="124"/>
      <c r="G259" s="90"/>
      <c r="H259" s="91"/>
      <c r="I259" s="322"/>
      <c r="K259" s="120"/>
      <c r="L259" s="123" t="s">
        <v>234</v>
      </c>
      <c r="M259" s="124"/>
      <c r="N259" s="124"/>
      <c r="O259" s="124"/>
      <c r="P259" s="124"/>
      <c r="Q259" s="90"/>
      <c r="R259" s="91"/>
      <c r="S259" s="322"/>
    </row>
    <row r="260" spans="1:19" ht="2.25" customHeight="1" thickBot="1" x14ac:dyDescent="0.3">
      <c r="A260" s="15"/>
      <c r="B260" s="137" t="s">
        <v>248</v>
      </c>
      <c r="C260" s="138"/>
      <c r="D260" s="138"/>
      <c r="E260" s="138"/>
      <c r="F260" s="138"/>
      <c r="G260" s="139"/>
      <c r="H260" s="140"/>
      <c r="I260" s="16"/>
      <c r="K260" s="15"/>
      <c r="L260" s="137" t="s">
        <v>248</v>
      </c>
      <c r="M260" s="138"/>
      <c r="N260" s="138"/>
      <c r="O260" s="138"/>
      <c r="P260" s="138"/>
      <c r="Q260" s="139"/>
      <c r="R260" s="140"/>
      <c r="S260" s="16"/>
    </row>
    <row r="261" spans="1:19" ht="32.25" hidden="1" customHeight="1" x14ac:dyDescent="0.25">
      <c r="A261" s="15"/>
      <c r="B261" s="137" t="s">
        <v>235</v>
      </c>
      <c r="C261" s="138"/>
      <c r="D261" s="138"/>
      <c r="E261" s="138"/>
      <c r="F261" s="138"/>
      <c r="G261" s="139"/>
      <c r="H261" s="140"/>
      <c r="I261" s="16"/>
      <c r="K261" s="15"/>
      <c r="L261" s="137" t="s">
        <v>235</v>
      </c>
      <c r="M261" s="138"/>
      <c r="N261" s="138"/>
      <c r="O261" s="138"/>
      <c r="P261" s="138"/>
      <c r="Q261" s="139"/>
      <c r="R261" s="140"/>
      <c r="S261" s="16"/>
    </row>
    <row r="262" spans="1:19" ht="30.75" customHeight="1" thickBot="1" x14ac:dyDescent="0.3">
      <c r="A262" s="17"/>
      <c r="B262" s="78" t="s">
        <v>237</v>
      </c>
      <c r="C262" s="79"/>
      <c r="D262" s="79"/>
      <c r="E262" s="79"/>
      <c r="F262" s="79"/>
      <c r="G262" s="86">
        <v>7955</v>
      </c>
      <c r="H262" s="87"/>
      <c r="I262" s="108" t="s">
        <v>229</v>
      </c>
      <c r="K262" s="17"/>
      <c r="L262" s="78" t="s">
        <v>237</v>
      </c>
      <c r="M262" s="79"/>
      <c r="N262" s="79"/>
      <c r="O262" s="79"/>
      <c r="P262" s="79"/>
      <c r="Q262" s="86">
        <v>7955</v>
      </c>
      <c r="R262" s="87"/>
      <c r="S262" s="108" t="s">
        <v>229</v>
      </c>
    </row>
    <row r="263" spans="1:19" ht="15.75" customHeight="1" thickBot="1" x14ac:dyDescent="0.3">
      <c r="A263" s="18"/>
      <c r="B263" s="110" t="s">
        <v>238</v>
      </c>
      <c r="C263" s="111"/>
      <c r="D263" s="111"/>
      <c r="E263" s="111"/>
      <c r="F263" s="111"/>
      <c r="G263" s="90"/>
      <c r="H263" s="91"/>
      <c r="I263" s="109"/>
      <c r="K263" s="18"/>
      <c r="L263" s="110" t="s">
        <v>238</v>
      </c>
      <c r="M263" s="111"/>
      <c r="N263" s="111"/>
      <c r="O263" s="111"/>
      <c r="P263" s="111"/>
      <c r="Q263" s="90"/>
      <c r="R263" s="91"/>
      <c r="S263" s="109"/>
    </row>
    <row r="264" spans="1:19" ht="15.75" thickBot="1" x14ac:dyDescent="0.3">
      <c r="A264" s="19"/>
      <c r="B264" s="112" t="s">
        <v>239</v>
      </c>
      <c r="C264" s="113"/>
      <c r="D264" s="113"/>
      <c r="E264" s="113"/>
      <c r="F264" s="113"/>
      <c r="G264" s="114">
        <f>SUM(G243:H263)</f>
        <v>23263.160000000003</v>
      </c>
      <c r="H264" s="115"/>
      <c r="I264" s="20"/>
      <c r="K264" s="19"/>
      <c r="L264" s="112" t="s">
        <v>239</v>
      </c>
      <c r="M264" s="113"/>
      <c r="N264" s="113"/>
      <c r="O264" s="113"/>
      <c r="P264" s="113"/>
      <c r="Q264" s="114">
        <f>SUM(Q243:R263)</f>
        <v>24986.18</v>
      </c>
      <c r="R264" s="115"/>
      <c r="S264" s="20"/>
    </row>
    <row r="265" spans="1:19" ht="21" customHeight="1" thickBot="1" x14ac:dyDescent="0.3">
      <c r="A265" s="21"/>
      <c r="B265" s="101" t="s">
        <v>240</v>
      </c>
      <c r="C265" s="102"/>
      <c r="D265" s="102"/>
      <c r="E265" s="102"/>
      <c r="F265" s="102"/>
      <c r="G265" s="116">
        <f>G264*1.2</f>
        <v>27915.792000000005</v>
      </c>
      <c r="H265" s="117"/>
      <c r="I265" s="22"/>
      <c r="K265" s="21"/>
      <c r="L265" s="101" t="s">
        <v>240</v>
      </c>
      <c r="M265" s="102"/>
      <c r="N265" s="102"/>
      <c r="O265" s="102"/>
      <c r="P265" s="102"/>
      <c r="Q265" s="116">
        <f>Q264*1.2</f>
        <v>29983.415999999997</v>
      </c>
      <c r="R265" s="117"/>
      <c r="S265" s="22"/>
    </row>
    <row r="266" spans="1:19" ht="21" customHeight="1" thickBot="1" x14ac:dyDescent="0.3">
      <c r="A266" s="24"/>
      <c r="B266" s="96" t="s">
        <v>443</v>
      </c>
      <c r="C266" s="97"/>
      <c r="D266" s="97"/>
      <c r="E266" s="97"/>
      <c r="F266" s="97"/>
      <c r="G266" s="311">
        <v>27938.16</v>
      </c>
      <c r="H266" s="312"/>
      <c r="I266" s="313"/>
      <c r="K266" s="24"/>
      <c r="L266" s="96" t="s">
        <v>443</v>
      </c>
      <c r="M266" s="97"/>
      <c r="N266" s="97"/>
      <c r="O266" s="97"/>
      <c r="P266" s="97"/>
      <c r="Q266" s="311">
        <v>30570.97</v>
      </c>
      <c r="R266" s="312"/>
      <c r="S266" s="313"/>
    </row>
    <row r="267" spans="1:19" ht="21" customHeight="1" thickBot="1" x14ac:dyDescent="0.3">
      <c r="A267" s="19"/>
      <c r="B267" s="101" t="s">
        <v>242</v>
      </c>
      <c r="C267" s="102"/>
      <c r="D267" s="102"/>
      <c r="E267" s="102"/>
      <c r="F267" s="102"/>
      <c r="G267" s="307">
        <v>26613.200000000001</v>
      </c>
      <c r="H267" s="308"/>
      <c r="I267" s="309"/>
      <c r="K267" s="19"/>
      <c r="L267" s="101" t="s">
        <v>242</v>
      </c>
      <c r="M267" s="102"/>
      <c r="N267" s="102"/>
      <c r="O267" s="102"/>
      <c r="P267" s="102"/>
      <c r="Q267" s="307">
        <v>38585.660000000003</v>
      </c>
      <c r="R267" s="308"/>
      <c r="S267" s="309"/>
    </row>
    <row r="268" spans="1:19" ht="21" customHeight="1" thickBot="1" x14ac:dyDescent="0.3">
      <c r="A268" s="75"/>
      <c r="B268" s="106" t="s">
        <v>444</v>
      </c>
      <c r="C268" s="107"/>
      <c r="D268" s="107"/>
      <c r="E268" s="107"/>
      <c r="F268" s="107"/>
      <c r="G268" s="359">
        <v>8167.64</v>
      </c>
      <c r="H268" s="360"/>
      <c r="I268" s="361"/>
      <c r="K268" s="19"/>
      <c r="L268" s="106" t="s">
        <v>444</v>
      </c>
      <c r="M268" s="107"/>
      <c r="N268" s="107"/>
      <c r="O268" s="107"/>
      <c r="P268" s="107"/>
      <c r="Q268" s="307">
        <v>3152.98</v>
      </c>
      <c r="R268" s="308"/>
      <c r="S268" s="309"/>
    </row>
    <row r="269" spans="1:19" x14ac:dyDescent="0.25">
      <c r="E269" s="50"/>
      <c r="I269" s="5"/>
      <c r="O269" s="50"/>
      <c r="S269" s="5"/>
    </row>
    <row r="270" spans="1:19" x14ac:dyDescent="0.25">
      <c r="A270" s="3"/>
      <c r="I270" s="5"/>
      <c r="K270" s="3"/>
      <c r="S270" s="5"/>
    </row>
    <row r="271" spans="1:19" ht="15.75" x14ac:dyDescent="0.25">
      <c r="A271" s="3"/>
      <c r="C271" s="30"/>
      <c r="K271" s="3"/>
      <c r="M271" s="30"/>
    </row>
    <row r="272" spans="1:19" ht="15.75" x14ac:dyDescent="0.25">
      <c r="A272" s="30"/>
      <c r="C272" s="30"/>
      <c r="K272" s="30"/>
      <c r="M272" s="30"/>
    </row>
  </sheetData>
  <mergeCells count="761">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B28:F28"/>
    <mergeCell ref="G28:H29"/>
    <mergeCell ref="I28:I29"/>
    <mergeCell ref="L28:P28"/>
    <mergeCell ref="Q28:R29"/>
    <mergeCell ref="S28:S29"/>
    <mergeCell ref="B29:F29"/>
    <mergeCell ref="L29:P29"/>
    <mergeCell ref="B26:F26"/>
    <mergeCell ref="G26:H26"/>
    <mergeCell ref="L26:P26"/>
    <mergeCell ref="Q26:R26"/>
    <mergeCell ref="B27:F27"/>
    <mergeCell ref="G27:H27"/>
    <mergeCell ref="L27:P27"/>
    <mergeCell ref="Q27:R27"/>
    <mergeCell ref="B32:F32"/>
    <mergeCell ref="G32:I32"/>
    <mergeCell ref="L32:P32"/>
    <mergeCell ref="Q32:S32"/>
    <mergeCell ref="B33:F33"/>
    <mergeCell ref="G33:I33"/>
    <mergeCell ref="L33:P33"/>
    <mergeCell ref="Q33:S33"/>
    <mergeCell ref="B30:F30"/>
    <mergeCell ref="G30:H30"/>
    <mergeCell ref="L30:P30"/>
    <mergeCell ref="Q30:R30"/>
    <mergeCell ref="B31:F31"/>
    <mergeCell ref="G31:H31"/>
    <mergeCell ref="L31:P31"/>
    <mergeCell ref="Q31:R31"/>
    <mergeCell ref="Q43:R44"/>
    <mergeCell ref="S43:S44"/>
    <mergeCell ref="A45:A46"/>
    <mergeCell ref="B45:F46"/>
    <mergeCell ref="G45:I46"/>
    <mergeCell ref="K45:K46"/>
    <mergeCell ref="L45:P46"/>
    <mergeCell ref="Q45:S46"/>
    <mergeCell ref="B34:F34"/>
    <mergeCell ref="G34:I34"/>
    <mergeCell ref="L34:P34"/>
    <mergeCell ref="Q34:S34"/>
    <mergeCell ref="A43:A44"/>
    <mergeCell ref="B43:F44"/>
    <mergeCell ref="G43:H44"/>
    <mergeCell ref="I43:I44"/>
    <mergeCell ref="K43:K44"/>
    <mergeCell ref="L43:P44"/>
    <mergeCell ref="B47:F47"/>
    <mergeCell ref="G47:H49"/>
    <mergeCell ref="I47:I48"/>
    <mergeCell ref="L47:P47"/>
    <mergeCell ref="Q47:R49"/>
    <mergeCell ref="S47:S48"/>
    <mergeCell ref="B48:F48"/>
    <mergeCell ref="L48:P48"/>
    <mergeCell ref="B49:F49"/>
    <mergeCell ref="L49:P49"/>
    <mergeCell ref="B54:F54"/>
    <mergeCell ref="L54:P54"/>
    <mergeCell ref="B50:F50"/>
    <mergeCell ref="G50:H50"/>
    <mergeCell ref="L50:P50"/>
    <mergeCell ref="Q50:R50"/>
    <mergeCell ref="B51:F51"/>
    <mergeCell ref="G51:H51"/>
    <mergeCell ref="L51:P51"/>
    <mergeCell ref="Q51:R51"/>
    <mergeCell ref="B52:F52"/>
    <mergeCell ref="G52:H55"/>
    <mergeCell ref="I52:I54"/>
    <mergeCell ref="L52:P52"/>
    <mergeCell ref="B59:F59"/>
    <mergeCell ref="G59:H63"/>
    <mergeCell ref="I59:I63"/>
    <mergeCell ref="L59:P59"/>
    <mergeCell ref="Q52:R55"/>
    <mergeCell ref="B55:F55"/>
    <mergeCell ref="L55:P55"/>
    <mergeCell ref="Q59:R63"/>
    <mergeCell ref="S59:S63"/>
    <mergeCell ref="Q56:R57"/>
    <mergeCell ref="S56:S57"/>
    <mergeCell ref="B57:F57"/>
    <mergeCell ref="L57:P57"/>
    <mergeCell ref="B58:F58"/>
    <mergeCell ref="G58:H58"/>
    <mergeCell ref="L58:P58"/>
    <mergeCell ref="Q58:R58"/>
    <mergeCell ref="B56:F56"/>
    <mergeCell ref="G56:H57"/>
    <mergeCell ref="I56:I57"/>
    <mergeCell ref="L56:P56"/>
    <mergeCell ref="S52:S54"/>
    <mergeCell ref="B53:F53"/>
    <mergeCell ref="L53:P53"/>
    <mergeCell ref="A60:A63"/>
    <mergeCell ref="B60:F60"/>
    <mergeCell ref="K60:K63"/>
    <mergeCell ref="L60:P60"/>
    <mergeCell ref="B61:F61"/>
    <mergeCell ref="L61:P61"/>
    <mergeCell ref="B62:F62"/>
    <mergeCell ref="L62:P62"/>
    <mergeCell ref="B63:F63"/>
    <mergeCell ref="L63:P63"/>
    <mergeCell ref="B66:F66"/>
    <mergeCell ref="G66:H67"/>
    <mergeCell ref="I66:I67"/>
    <mergeCell ref="L66:P66"/>
    <mergeCell ref="Q66:R67"/>
    <mergeCell ref="S66:S67"/>
    <mergeCell ref="B67:F67"/>
    <mergeCell ref="L67:P67"/>
    <mergeCell ref="B64:F64"/>
    <mergeCell ref="G64:H64"/>
    <mergeCell ref="L64:P64"/>
    <mergeCell ref="Q64:R64"/>
    <mergeCell ref="B65:F65"/>
    <mergeCell ref="G65:H65"/>
    <mergeCell ref="L65:P65"/>
    <mergeCell ref="Q65:R65"/>
    <mergeCell ref="B70:F70"/>
    <mergeCell ref="G70:I70"/>
    <mergeCell ref="L70:P70"/>
    <mergeCell ref="Q70:S70"/>
    <mergeCell ref="B71:F71"/>
    <mergeCell ref="G71:I71"/>
    <mergeCell ref="L71:P71"/>
    <mergeCell ref="Q71:S71"/>
    <mergeCell ref="B68:F68"/>
    <mergeCell ref="G68:H68"/>
    <mergeCell ref="L68:P68"/>
    <mergeCell ref="Q68:R68"/>
    <mergeCell ref="B69:F69"/>
    <mergeCell ref="G69:H69"/>
    <mergeCell ref="L69:P69"/>
    <mergeCell ref="Q69:R69"/>
    <mergeCell ref="Q83:R84"/>
    <mergeCell ref="S83:S84"/>
    <mergeCell ref="A85:A86"/>
    <mergeCell ref="B85:F86"/>
    <mergeCell ref="G85:I86"/>
    <mergeCell ref="K85:K86"/>
    <mergeCell ref="L85:P86"/>
    <mergeCell ref="Q85:S86"/>
    <mergeCell ref="B72:F72"/>
    <mergeCell ref="G72:I72"/>
    <mergeCell ref="L72:P72"/>
    <mergeCell ref="Q72:S72"/>
    <mergeCell ref="A83:A84"/>
    <mergeCell ref="B83:F84"/>
    <mergeCell ref="G83:H84"/>
    <mergeCell ref="I83:I84"/>
    <mergeCell ref="K83:K84"/>
    <mergeCell ref="L83:P84"/>
    <mergeCell ref="B87:F87"/>
    <mergeCell ref="G87:H89"/>
    <mergeCell ref="I87:I88"/>
    <mergeCell ref="L87:P87"/>
    <mergeCell ref="Q87:R89"/>
    <mergeCell ref="S87:S88"/>
    <mergeCell ref="B88:F88"/>
    <mergeCell ref="L88:P88"/>
    <mergeCell ref="B89:F89"/>
    <mergeCell ref="L89:P89"/>
    <mergeCell ref="B94:F94"/>
    <mergeCell ref="L94:P94"/>
    <mergeCell ref="B90:F90"/>
    <mergeCell ref="G90:H90"/>
    <mergeCell ref="L90:P90"/>
    <mergeCell ref="Q90:R90"/>
    <mergeCell ref="B91:F91"/>
    <mergeCell ref="G91:H91"/>
    <mergeCell ref="L91:P91"/>
    <mergeCell ref="Q91:R91"/>
    <mergeCell ref="B92:F92"/>
    <mergeCell ref="G92:H95"/>
    <mergeCell ref="I92:I94"/>
    <mergeCell ref="L92:P92"/>
    <mergeCell ref="B99:F99"/>
    <mergeCell ref="G99:H103"/>
    <mergeCell ref="I99:I103"/>
    <mergeCell ref="L99:P99"/>
    <mergeCell ref="Q92:R95"/>
    <mergeCell ref="B95:F95"/>
    <mergeCell ref="L95:P95"/>
    <mergeCell ref="Q99:R103"/>
    <mergeCell ref="S99:S103"/>
    <mergeCell ref="Q96:R97"/>
    <mergeCell ref="S96:S97"/>
    <mergeCell ref="B97:F97"/>
    <mergeCell ref="L97:P97"/>
    <mergeCell ref="B98:F98"/>
    <mergeCell ref="G98:H98"/>
    <mergeCell ref="L98:P98"/>
    <mergeCell ref="Q98:R98"/>
    <mergeCell ref="B96:F96"/>
    <mergeCell ref="G96:H97"/>
    <mergeCell ref="I96:I97"/>
    <mergeCell ref="L96:P96"/>
    <mergeCell ref="S92:S94"/>
    <mergeCell ref="B93:F93"/>
    <mergeCell ref="L93:P93"/>
    <mergeCell ref="A100:A103"/>
    <mergeCell ref="B100:F100"/>
    <mergeCell ref="K100:K103"/>
    <mergeCell ref="L100:P100"/>
    <mergeCell ref="B101:F101"/>
    <mergeCell ref="L101:P101"/>
    <mergeCell ref="B102:F102"/>
    <mergeCell ref="L102:P102"/>
    <mergeCell ref="B103:F103"/>
    <mergeCell ref="L103:P103"/>
    <mergeCell ref="S106:S107"/>
    <mergeCell ref="B107:F107"/>
    <mergeCell ref="L107:P107"/>
    <mergeCell ref="B104:F104"/>
    <mergeCell ref="G104:H104"/>
    <mergeCell ref="L104:P104"/>
    <mergeCell ref="Q104:R104"/>
    <mergeCell ref="B105:F105"/>
    <mergeCell ref="G105:H105"/>
    <mergeCell ref="L105:P105"/>
    <mergeCell ref="Q105:R105"/>
    <mergeCell ref="B108:F108"/>
    <mergeCell ref="G108:H108"/>
    <mergeCell ref="L108:P108"/>
    <mergeCell ref="Q108:R108"/>
    <mergeCell ref="B109:F109"/>
    <mergeCell ref="G109:H109"/>
    <mergeCell ref="L109:P109"/>
    <mergeCell ref="Q109:R109"/>
    <mergeCell ref="B106:F106"/>
    <mergeCell ref="G106:H107"/>
    <mergeCell ref="I106:I107"/>
    <mergeCell ref="L106:P106"/>
    <mergeCell ref="Q106:R107"/>
    <mergeCell ref="B112:F112"/>
    <mergeCell ref="G112:I112"/>
    <mergeCell ref="L112:P112"/>
    <mergeCell ref="Q112:S112"/>
    <mergeCell ref="C113:I113"/>
    <mergeCell ref="L113:S113"/>
    <mergeCell ref="B110:F110"/>
    <mergeCell ref="G110:I110"/>
    <mergeCell ref="L110:P110"/>
    <mergeCell ref="Q110:S110"/>
    <mergeCell ref="B111:F111"/>
    <mergeCell ref="G111:I111"/>
    <mergeCell ref="L111:P111"/>
    <mergeCell ref="Q111:S111"/>
    <mergeCell ref="Q122:R123"/>
    <mergeCell ref="S122:S123"/>
    <mergeCell ref="A124:A125"/>
    <mergeCell ref="B124:F125"/>
    <mergeCell ref="G124:I125"/>
    <mergeCell ref="K124:K125"/>
    <mergeCell ref="L124:P125"/>
    <mergeCell ref="Q124:S125"/>
    <mergeCell ref="A122:A123"/>
    <mergeCell ref="B122:F123"/>
    <mergeCell ref="G122:H123"/>
    <mergeCell ref="I122:I123"/>
    <mergeCell ref="K122:K123"/>
    <mergeCell ref="L122:P123"/>
    <mergeCell ref="B126:F126"/>
    <mergeCell ref="G126:H128"/>
    <mergeCell ref="I126:I127"/>
    <mergeCell ref="L126:P126"/>
    <mergeCell ref="Q126:R128"/>
    <mergeCell ref="S126:S127"/>
    <mergeCell ref="B127:F127"/>
    <mergeCell ref="L127:P127"/>
    <mergeCell ref="B128:F128"/>
    <mergeCell ref="L128:P128"/>
    <mergeCell ref="B133:F133"/>
    <mergeCell ref="L133:P133"/>
    <mergeCell ref="B129:F129"/>
    <mergeCell ref="G129:H129"/>
    <mergeCell ref="L129:P129"/>
    <mergeCell ref="Q129:R129"/>
    <mergeCell ref="B130:F130"/>
    <mergeCell ref="G130:H130"/>
    <mergeCell ref="L130:P130"/>
    <mergeCell ref="Q130:R130"/>
    <mergeCell ref="B131:F131"/>
    <mergeCell ref="G131:H134"/>
    <mergeCell ref="I131:I133"/>
    <mergeCell ref="L131:P131"/>
    <mergeCell ref="B138:F138"/>
    <mergeCell ref="G138:H142"/>
    <mergeCell ref="I138:I142"/>
    <mergeCell ref="L138:P138"/>
    <mergeCell ref="Q131:R134"/>
    <mergeCell ref="B134:F134"/>
    <mergeCell ref="L134:P134"/>
    <mergeCell ref="Q138:R142"/>
    <mergeCell ref="S138:S142"/>
    <mergeCell ref="Q135:R136"/>
    <mergeCell ref="S135:S136"/>
    <mergeCell ref="B136:F136"/>
    <mergeCell ref="L136:P136"/>
    <mergeCell ref="B137:F137"/>
    <mergeCell ref="G137:H137"/>
    <mergeCell ref="L137:P137"/>
    <mergeCell ref="Q137:R137"/>
    <mergeCell ref="B135:F135"/>
    <mergeCell ref="G135:H136"/>
    <mergeCell ref="I135:I136"/>
    <mergeCell ref="L135:P135"/>
    <mergeCell ref="S131:S133"/>
    <mergeCell ref="B132:F132"/>
    <mergeCell ref="L132:P132"/>
    <mergeCell ref="A139:A142"/>
    <mergeCell ref="B139:F139"/>
    <mergeCell ref="K139:K142"/>
    <mergeCell ref="L139:P139"/>
    <mergeCell ref="B140:F140"/>
    <mergeCell ref="L140:P140"/>
    <mergeCell ref="B141:F141"/>
    <mergeCell ref="L141:P141"/>
    <mergeCell ref="B142:F142"/>
    <mergeCell ref="L142:P142"/>
    <mergeCell ref="S145:S146"/>
    <mergeCell ref="B146:F146"/>
    <mergeCell ref="L146:P146"/>
    <mergeCell ref="B143:F143"/>
    <mergeCell ref="G143:H143"/>
    <mergeCell ref="L143:P143"/>
    <mergeCell ref="Q143:R143"/>
    <mergeCell ref="B144:F144"/>
    <mergeCell ref="G144:H144"/>
    <mergeCell ref="L144:P144"/>
    <mergeCell ref="Q144:R144"/>
    <mergeCell ref="B147:F147"/>
    <mergeCell ref="G147:H147"/>
    <mergeCell ref="L147:P147"/>
    <mergeCell ref="Q147:R147"/>
    <mergeCell ref="B148:F148"/>
    <mergeCell ref="G148:H148"/>
    <mergeCell ref="L148:P148"/>
    <mergeCell ref="Q148:R148"/>
    <mergeCell ref="B145:F145"/>
    <mergeCell ref="G145:H146"/>
    <mergeCell ref="I145:I146"/>
    <mergeCell ref="L145:P145"/>
    <mergeCell ref="Q145:R146"/>
    <mergeCell ref="B151:F151"/>
    <mergeCell ref="G151:I151"/>
    <mergeCell ref="L151:P151"/>
    <mergeCell ref="Q151:S151"/>
    <mergeCell ref="B152:I152"/>
    <mergeCell ref="L152:S152"/>
    <mergeCell ref="B149:F149"/>
    <mergeCell ref="G149:I149"/>
    <mergeCell ref="L149:P149"/>
    <mergeCell ref="Q149:S149"/>
    <mergeCell ref="B150:F150"/>
    <mergeCell ref="G150:I150"/>
    <mergeCell ref="L150:P150"/>
    <mergeCell ref="Q150:S150"/>
    <mergeCell ref="Q161:R162"/>
    <mergeCell ref="S161:S162"/>
    <mergeCell ref="A163:A164"/>
    <mergeCell ref="B163:F164"/>
    <mergeCell ref="G163:I164"/>
    <mergeCell ref="K163:K164"/>
    <mergeCell ref="L163:P164"/>
    <mergeCell ref="Q163:S164"/>
    <mergeCell ref="A161:A162"/>
    <mergeCell ref="B161:F162"/>
    <mergeCell ref="G161:H162"/>
    <mergeCell ref="I161:I162"/>
    <mergeCell ref="K161:K162"/>
    <mergeCell ref="L161:P162"/>
    <mergeCell ref="B165:F165"/>
    <mergeCell ref="G165:H167"/>
    <mergeCell ref="I165:I166"/>
    <mergeCell ref="L165:P165"/>
    <mergeCell ref="Q165:R167"/>
    <mergeCell ref="S165:S166"/>
    <mergeCell ref="B166:F166"/>
    <mergeCell ref="L166:P166"/>
    <mergeCell ref="B167:F167"/>
    <mergeCell ref="L167:P167"/>
    <mergeCell ref="B172:F172"/>
    <mergeCell ref="L172:P172"/>
    <mergeCell ref="B168:F168"/>
    <mergeCell ref="G168:H168"/>
    <mergeCell ref="L168:P168"/>
    <mergeCell ref="Q168:R168"/>
    <mergeCell ref="B169:F169"/>
    <mergeCell ref="G169:H169"/>
    <mergeCell ref="L169:P169"/>
    <mergeCell ref="Q169:R169"/>
    <mergeCell ref="B170:F170"/>
    <mergeCell ref="G170:H173"/>
    <mergeCell ref="I170:I172"/>
    <mergeCell ref="L170:P170"/>
    <mergeCell ref="B177:F177"/>
    <mergeCell ref="G177:H181"/>
    <mergeCell ref="I177:I181"/>
    <mergeCell ref="L177:P177"/>
    <mergeCell ref="Q170:R173"/>
    <mergeCell ref="B173:F173"/>
    <mergeCell ref="L173:P173"/>
    <mergeCell ref="Q177:R181"/>
    <mergeCell ref="S177:S181"/>
    <mergeCell ref="Q174:R175"/>
    <mergeCell ref="S174:S175"/>
    <mergeCell ref="B175:F175"/>
    <mergeCell ref="L175:P175"/>
    <mergeCell ref="B176:F176"/>
    <mergeCell ref="G176:H176"/>
    <mergeCell ref="L176:P176"/>
    <mergeCell ref="Q176:R176"/>
    <mergeCell ref="B174:F174"/>
    <mergeCell ref="G174:H175"/>
    <mergeCell ref="I174:I175"/>
    <mergeCell ref="L174:P174"/>
    <mergeCell ref="S170:S172"/>
    <mergeCell ref="B171:F171"/>
    <mergeCell ref="L171:P171"/>
    <mergeCell ref="A178:A181"/>
    <mergeCell ref="B178:F178"/>
    <mergeCell ref="K178:K181"/>
    <mergeCell ref="L178:P178"/>
    <mergeCell ref="B179:F179"/>
    <mergeCell ref="L179:P179"/>
    <mergeCell ref="B180:F180"/>
    <mergeCell ref="L180:P180"/>
    <mergeCell ref="B181:F181"/>
    <mergeCell ref="L181:P181"/>
    <mergeCell ref="B184:F184"/>
    <mergeCell ref="G184:H185"/>
    <mergeCell ref="I184:I185"/>
    <mergeCell ref="L184:P184"/>
    <mergeCell ref="Q184:R185"/>
    <mergeCell ref="S184:S185"/>
    <mergeCell ref="B185:F185"/>
    <mergeCell ref="L185:P185"/>
    <mergeCell ref="B182:F182"/>
    <mergeCell ref="G182:H182"/>
    <mergeCell ref="L182:P182"/>
    <mergeCell ref="Q182:R182"/>
    <mergeCell ref="B183:F183"/>
    <mergeCell ref="G183:H183"/>
    <mergeCell ref="L183:P183"/>
    <mergeCell ref="Q183:R183"/>
    <mergeCell ref="B188:F188"/>
    <mergeCell ref="G188:I188"/>
    <mergeCell ref="L188:P188"/>
    <mergeCell ref="Q188:S188"/>
    <mergeCell ref="B189:F189"/>
    <mergeCell ref="G189:I189"/>
    <mergeCell ref="L189:P189"/>
    <mergeCell ref="Q189:S189"/>
    <mergeCell ref="B186:F186"/>
    <mergeCell ref="G186:H186"/>
    <mergeCell ref="L186:P186"/>
    <mergeCell ref="Q186:R186"/>
    <mergeCell ref="B187:F187"/>
    <mergeCell ref="G187:H187"/>
    <mergeCell ref="L187:P187"/>
    <mergeCell ref="Q187:R187"/>
    <mergeCell ref="Q200:R201"/>
    <mergeCell ref="S200:S201"/>
    <mergeCell ref="A202:A203"/>
    <mergeCell ref="B202:F203"/>
    <mergeCell ref="G202:I203"/>
    <mergeCell ref="K202:K203"/>
    <mergeCell ref="L202:P203"/>
    <mergeCell ref="Q202:S203"/>
    <mergeCell ref="B190:F190"/>
    <mergeCell ref="G190:I190"/>
    <mergeCell ref="L190:P190"/>
    <mergeCell ref="Q190:S190"/>
    <mergeCell ref="A200:A201"/>
    <mergeCell ref="B200:F201"/>
    <mergeCell ref="G200:H201"/>
    <mergeCell ref="I200:I201"/>
    <mergeCell ref="K200:K201"/>
    <mergeCell ref="L200:P201"/>
    <mergeCell ref="B191:I191"/>
    <mergeCell ref="B204:F204"/>
    <mergeCell ref="G204:H206"/>
    <mergeCell ref="I204:I205"/>
    <mergeCell ref="L204:P204"/>
    <mergeCell ref="Q204:R206"/>
    <mergeCell ref="S204:S205"/>
    <mergeCell ref="B205:F205"/>
    <mergeCell ref="L205:P205"/>
    <mergeCell ref="B206:F206"/>
    <mergeCell ref="L206:P206"/>
    <mergeCell ref="B211:F211"/>
    <mergeCell ref="L211:P211"/>
    <mergeCell ref="B207:F207"/>
    <mergeCell ref="G207:H207"/>
    <mergeCell ref="L207:P207"/>
    <mergeCell ref="Q207:R207"/>
    <mergeCell ref="B208:F208"/>
    <mergeCell ref="G208:H208"/>
    <mergeCell ref="L208:P208"/>
    <mergeCell ref="Q208:R208"/>
    <mergeCell ref="B209:F209"/>
    <mergeCell ref="G209:H212"/>
    <mergeCell ref="I209:I211"/>
    <mergeCell ref="L209:P209"/>
    <mergeCell ref="B216:F216"/>
    <mergeCell ref="G216:H220"/>
    <mergeCell ref="I216:I220"/>
    <mergeCell ref="L216:P216"/>
    <mergeCell ref="Q209:R212"/>
    <mergeCell ref="B212:F212"/>
    <mergeCell ref="L212:P212"/>
    <mergeCell ref="Q216:R220"/>
    <mergeCell ref="S216:S220"/>
    <mergeCell ref="Q213:R214"/>
    <mergeCell ref="S213:S214"/>
    <mergeCell ref="B214:F214"/>
    <mergeCell ref="L214:P214"/>
    <mergeCell ref="B215:F215"/>
    <mergeCell ref="G215:H215"/>
    <mergeCell ref="L215:P215"/>
    <mergeCell ref="Q215:R215"/>
    <mergeCell ref="B213:F213"/>
    <mergeCell ref="G213:H214"/>
    <mergeCell ref="I213:I214"/>
    <mergeCell ref="L213:P213"/>
    <mergeCell ref="S209:S211"/>
    <mergeCell ref="B210:F210"/>
    <mergeCell ref="L210:P210"/>
    <mergeCell ref="A217:A220"/>
    <mergeCell ref="B217:F217"/>
    <mergeCell ref="K217:K220"/>
    <mergeCell ref="L217:P217"/>
    <mergeCell ref="B218:F218"/>
    <mergeCell ref="L218:P218"/>
    <mergeCell ref="B219:F219"/>
    <mergeCell ref="L219:P219"/>
    <mergeCell ref="B220:F220"/>
    <mergeCell ref="L220:P220"/>
    <mergeCell ref="B223:F223"/>
    <mergeCell ref="G223:H224"/>
    <mergeCell ref="I223:I224"/>
    <mergeCell ref="L223:P223"/>
    <mergeCell ref="Q223:R224"/>
    <mergeCell ref="S223:S224"/>
    <mergeCell ref="B224:F224"/>
    <mergeCell ref="L224:P224"/>
    <mergeCell ref="B221:F221"/>
    <mergeCell ref="G221:H221"/>
    <mergeCell ref="L221:P221"/>
    <mergeCell ref="Q221:R221"/>
    <mergeCell ref="B222:F222"/>
    <mergeCell ref="G222:H222"/>
    <mergeCell ref="L222:P222"/>
    <mergeCell ref="Q222:R222"/>
    <mergeCell ref="B227:F227"/>
    <mergeCell ref="G227:I227"/>
    <mergeCell ref="L227:P227"/>
    <mergeCell ref="Q227:S227"/>
    <mergeCell ref="B228:F228"/>
    <mergeCell ref="G228:I228"/>
    <mergeCell ref="L228:P228"/>
    <mergeCell ref="Q228:S228"/>
    <mergeCell ref="B225:F225"/>
    <mergeCell ref="G225:H225"/>
    <mergeCell ref="L225:P225"/>
    <mergeCell ref="Q225:R225"/>
    <mergeCell ref="B226:F226"/>
    <mergeCell ref="G226:H226"/>
    <mergeCell ref="L226:P226"/>
    <mergeCell ref="Q226:R226"/>
    <mergeCell ref="Q239:R240"/>
    <mergeCell ref="S239:S240"/>
    <mergeCell ref="A241:A242"/>
    <mergeCell ref="B241:F242"/>
    <mergeCell ref="G241:I242"/>
    <mergeCell ref="K241:K242"/>
    <mergeCell ref="L241:P242"/>
    <mergeCell ref="Q241:S242"/>
    <mergeCell ref="B229:F229"/>
    <mergeCell ref="G229:I229"/>
    <mergeCell ref="L229:P229"/>
    <mergeCell ref="Q229:S229"/>
    <mergeCell ref="A239:A240"/>
    <mergeCell ref="B239:F240"/>
    <mergeCell ref="G239:H240"/>
    <mergeCell ref="I239:I240"/>
    <mergeCell ref="K239:K240"/>
    <mergeCell ref="L239:P240"/>
    <mergeCell ref="B243:F243"/>
    <mergeCell ref="G243:H245"/>
    <mergeCell ref="I243:I244"/>
    <mergeCell ref="L243:P243"/>
    <mergeCell ref="Q243:R245"/>
    <mergeCell ref="S243:S244"/>
    <mergeCell ref="B244:F244"/>
    <mergeCell ref="L244:P244"/>
    <mergeCell ref="B245:F245"/>
    <mergeCell ref="L245:P245"/>
    <mergeCell ref="B250:F250"/>
    <mergeCell ref="L250:P250"/>
    <mergeCell ref="B246:F246"/>
    <mergeCell ref="G246:H246"/>
    <mergeCell ref="L246:P246"/>
    <mergeCell ref="Q246:R246"/>
    <mergeCell ref="B247:F247"/>
    <mergeCell ref="G247:H247"/>
    <mergeCell ref="L247:P247"/>
    <mergeCell ref="Q247:R247"/>
    <mergeCell ref="B248:F248"/>
    <mergeCell ref="G248:H251"/>
    <mergeCell ref="I248:I250"/>
    <mergeCell ref="L248:P248"/>
    <mergeCell ref="B255:F255"/>
    <mergeCell ref="G255:H259"/>
    <mergeCell ref="I255:I259"/>
    <mergeCell ref="L255:P255"/>
    <mergeCell ref="Q248:R251"/>
    <mergeCell ref="B251:F251"/>
    <mergeCell ref="L251:P251"/>
    <mergeCell ref="Q255:R259"/>
    <mergeCell ref="S255:S259"/>
    <mergeCell ref="Q252:R253"/>
    <mergeCell ref="S252:S253"/>
    <mergeCell ref="B253:F253"/>
    <mergeCell ref="L253:P253"/>
    <mergeCell ref="B254:F254"/>
    <mergeCell ref="G254:H254"/>
    <mergeCell ref="L254:P254"/>
    <mergeCell ref="Q254:R254"/>
    <mergeCell ref="B252:F252"/>
    <mergeCell ref="G252:H253"/>
    <mergeCell ref="I252:I253"/>
    <mergeCell ref="L252:P252"/>
    <mergeCell ref="S248:S250"/>
    <mergeCell ref="B249:F249"/>
    <mergeCell ref="L249:P249"/>
    <mergeCell ref="A256:A259"/>
    <mergeCell ref="B256:F256"/>
    <mergeCell ref="K256:K259"/>
    <mergeCell ref="L256:P256"/>
    <mergeCell ref="B257:F257"/>
    <mergeCell ref="L257:P257"/>
    <mergeCell ref="B258:F258"/>
    <mergeCell ref="L258:P258"/>
    <mergeCell ref="B259:F259"/>
    <mergeCell ref="L259:P259"/>
    <mergeCell ref="S262:S263"/>
    <mergeCell ref="B263:F263"/>
    <mergeCell ref="L263:P263"/>
    <mergeCell ref="B260:F260"/>
    <mergeCell ref="G260:H260"/>
    <mergeCell ref="L260:P260"/>
    <mergeCell ref="Q260:R260"/>
    <mergeCell ref="B261:F261"/>
    <mergeCell ref="G261:H261"/>
    <mergeCell ref="L261:P261"/>
    <mergeCell ref="Q261:R261"/>
    <mergeCell ref="B264:F264"/>
    <mergeCell ref="G264:H264"/>
    <mergeCell ref="L264:P264"/>
    <mergeCell ref="Q264:R264"/>
    <mergeCell ref="B265:F265"/>
    <mergeCell ref="G265:H265"/>
    <mergeCell ref="L265:P265"/>
    <mergeCell ref="Q265:R265"/>
    <mergeCell ref="B262:F262"/>
    <mergeCell ref="G262:H263"/>
    <mergeCell ref="I262:I263"/>
    <mergeCell ref="L262:P262"/>
    <mergeCell ref="Q262:R263"/>
    <mergeCell ref="B268:F268"/>
    <mergeCell ref="G268:I268"/>
    <mergeCell ref="L268:P268"/>
    <mergeCell ref="Q268:S268"/>
    <mergeCell ref="B266:F266"/>
    <mergeCell ref="G266:I266"/>
    <mergeCell ref="L266:P266"/>
    <mergeCell ref="Q266:S266"/>
    <mergeCell ref="B267:F267"/>
    <mergeCell ref="G267:I267"/>
    <mergeCell ref="L267:P267"/>
    <mergeCell ref="Q267:S267"/>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T271"/>
  <sheetViews>
    <sheetView topLeftCell="A236" zoomScale="70" zoomScaleNormal="70" workbookViewId="0">
      <selection activeCell="Q260" sqref="Q260:R261"/>
    </sheetView>
  </sheetViews>
  <sheetFormatPr defaultColWidth="9.140625" defaultRowHeight="15" x14ac:dyDescent="0.25"/>
  <cols>
    <col min="1" max="1" width="3.42578125" customWidth="1"/>
    <col min="7" max="7" width="10" customWidth="1"/>
    <col min="9" max="9" width="43.5703125" customWidth="1"/>
    <col min="10" max="10" width="0.42578125" customWidth="1"/>
    <col min="11" max="11" width="4.42578125" customWidth="1"/>
    <col min="17" max="17" width="10.28515625" customWidth="1"/>
    <col min="19" max="19" width="53.42578125" customWidth="1"/>
    <col min="257" max="257" width="3.42578125" customWidth="1"/>
    <col min="263" max="263" width="10" customWidth="1"/>
    <col min="265" max="265" width="43.5703125" customWidth="1"/>
    <col min="266" max="266" width="0.42578125" customWidth="1"/>
    <col min="267" max="267" width="4.42578125" customWidth="1"/>
    <col min="273" max="273" width="10.28515625" customWidth="1"/>
    <col min="275" max="275" width="53.42578125" customWidth="1"/>
    <col min="513" max="513" width="3.42578125" customWidth="1"/>
    <col min="519" max="519" width="10" customWidth="1"/>
    <col min="521" max="521" width="43.5703125" customWidth="1"/>
    <col min="522" max="522" width="0.42578125" customWidth="1"/>
    <col min="523" max="523" width="4.42578125" customWidth="1"/>
    <col min="529" max="529" width="10.28515625" customWidth="1"/>
    <col min="531" max="531" width="53.42578125" customWidth="1"/>
    <col min="769" max="769" width="3.42578125" customWidth="1"/>
    <col min="775" max="775" width="10" customWidth="1"/>
    <col min="777" max="777" width="43.5703125" customWidth="1"/>
    <col min="778" max="778" width="0.42578125" customWidth="1"/>
    <col min="779" max="779" width="4.42578125" customWidth="1"/>
    <col min="785" max="785" width="10.28515625" customWidth="1"/>
    <col min="787" max="787" width="53.42578125" customWidth="1"/>
    <col min="1025" max="1025" width="3.42578125" customWidth="1"/>
    <col min="1031" max="1031" width="10" customWidth="1"/>
    <col min="1033" max="1033" width="43.5703125" customWidth="1"/>
    <col min="1034" max="1034" width="0.42578125" customWidth="1"/>
    <col min="1035" max="1035" width="4.42578125" customWidth="1"/>
    <col min="1041" max="1041" width="10.28515625" customWidth="1"/>
    <col min="1043" max="1043" width="53.42578125" customWidth="1"/>
    <col min="1281" max="1281" width="3.42578125" customWidth="1"/>
    <col min="1287" max="1287" width="10" customWidth="1"/>
    <col min="1289" max="1289" width="43.5703125" customWidth="1"/>
    <col min="1290" max="1290" width="0.42578125" customWidth="1"/>
    <col min="1291" max="1291" width="4.42578125" customWidth="1"/>
    <col min="1297" max="1297" width="10.28515625" customWidth="1"/>
    <col min="1299" max="1299" width="53.42578125" customWidth="1"/>
    <col min="1537" max="1537" width="3.42578125" customWidth="1"/>
    <col min="1543" max="1543" width="10" customWidth="1"/>
    <col min="1545" max="1545" width="43.5703125" customWidth="1"/>
    <col min="1546" max="1546" width="0.42578125" customWidth="1"/>
    <col min="1547" max="1547" width="4.42578125" customWidth="1"/>
    <col min="1553" max="1553" width="10.28515625" customWidth="1"/>
    <col min="1555" max="1555" width="53.42578125" customWidth="1"/>
    <col min="1793" max="1793" width="3.42578125" customWidth="1"/>
    <col min="1799" max="1799" width="10" customWidth="1"/>
    <col min="1801" max="1801" width="43.5703125" customWidth="1"/>
    <col min="1802" max="1802" width="0.42578125" customWidth="1"/>
    <col min="1803" max="1803" width="4.42578125" customWidth="1"/>
    <col min="1809" max="1809" width="10.28515625" customWidth="1"/>
    <col min="1811" max="1811" width="53.42578125" customWidth="1"/>
    <col min="2049" max="2049" width="3.42578125" customWidth="1"/>
    <col min="2055" max="2055" width="10" customWidth="1"/>
    <col min="2057" max="2057" width="43.5703125" customWidth="1"/>
    <col min="2058" max="2058" width="0.42578125" customWidth="1"/>
    <col min="2059" max="2059" width="4.42578125" customWidth="1"/>
    <col min="2065" max="2065" width="10.28515625" customWidth="1"/>
    <col min="2067" max="2067" width="53.42578125" customWidth="1"/>
    <col min="2305" max="2305" width="3.42578125" customWidth="1"/>
    <col min="2311" max="2311" width="10" customWidth="1"/>
    <col min="2313" max="2313" width="43.5703125" customWidth="1"/>
    <col min="2314" max="2314" width="0.42578125" customWidth="1"/>
    <col min="2315" max="2315" width="4.42578125" customWidth="1"/>
    <col min="2321" max="2321" width="10.28515625" customWidth="1"/>
    <col min="2323" max="2323" width="53.42578125" customWidth="1"/>
    <col min="2561" max="2561" width="3.42578125" customWidth="1"/>
    <col min="2567" max="2567" width="10" customWidth="1"/>
    <col min="2569" max="2569" width="43.5703125" customWidth="1"/>
    <col min="2570" max="2570" width="0.42578125" customWidth="1"/>
    <col min="2571" max="2571" width="4.42578125" customWidth="1"/>
    <col min="2577" max="2577" width="10.28515625" customWidth="1"/>
    <col min="2579" max="2579" width="53.42578125" customWidth="1"/>
    <col min="2817" max="2817" width="3.42578125" customWidth="1"/>
    <col min="2823" max="2823" width="10" customWidth="1"/>
    <col min="2825" max="2825" width="43.5703125" customWidth="1"/>
    <col min="2826" max="2826" width="0.42578125" customWidth="1"/>
    <col min="2827" max="2827" width="4.42578125" customWidth="1"/>
    <col min="2833" max="2833" width="10.28515625" customWidth="1"/>
    <col min="2835" max="2835" width="53.42578125" customWidth="1"/>
    <col min="3073" max="3073" width="3.42578125" customWidth="1"/>
    <col min="3079" max="3079" width="10" customWidth="1"/>
    <col min="3081" max="3081" width="43.5703125" customWidth="1"/>
    <col min="3082" max="3082" width="0.42578125" customWidth="1"/>
    <col min="3083" max="3083" width="4.42578125" customWidth="1"/>
    <col min="3089" max="3089" width="10.28515625" customWidth="1"/>
    <col min="3091" max="3091" width="53.42578125" customWidth="1"/>
    <col min="3329" max="3329" width="3.42578125" customWidth="1"/>
    <col min="3335" max="3335" width="10" customWidth="1"/>
    <col min="3337" max="3337" width="43.5703125" customWidth="1"/>
    <col min="3338" max="3338" width="0.42578125" customWidth="1"/>
    <col min="3339" max="3339" width="4.42578125" customWidth="1"/>
    <col min="3345" max="3345" width="10.28515625" customWidth="1"/>
    <col min="3347" max="3347" width="53.42578125" customWidth="1"/>
    <col min="3585" max="3585" width="3.42578125" customWidth="1"/>
    <col min="3591" max="3591" width="10" customWidth="1"/>
    <col min="3593" max="3593" width="43.5703125" customWidth="1"/>
    <col min="3594" max="3594" width="0.42578125" customWidth="1"/>
    <col min="3595" max="3595" width="4.42578125" customWidth="1"/>
    <col min="3601" max="3601" width="10.28515625" customWidth="1"/>
    <col min="3603" max="3603" width="53.42578125" customWidth="1"/>
    <col min="3841" max="3841" width="3.42578125" customWidth="1"/>
    <col min="3847" max="3847" width="10" customWidth="1"/>
    <col min="3849" max="3849" width="43.5703125" customWidth="1"/>
    <col min="3850" max="3850" width="0.42578125" customWidth="1"/>
    <col min="3851" max="3851" width="4.42578125" customWidth="1"/>
    <col min="3857" max="3857" width="10.28515625" customWidth="1"/>
    <col min="3859" max="3859" width="53.42578125" customWidth="1"/>
    <col min="4097" max="4097" width="3.42578125" customWidth="1"/>
    <col min="4103" max="4103" width="10" customWidth="1"/>
    <col min="4105" max="4105" width="43.5703125" customWidth="1"/>
    <col min="4106" max="4106" width="0.42578125" customWidth="1"/>
    <col min="4107" max="4107" width="4.42578125" customWidth="1"/>
    <col min="4113" max="4113" width="10.28515625" customWidth="1"/>
    <col min="4115" max="4115" width="53.42578125" customWidth="1"/>
    <col min="4353" max="4353" width="3.42578125" customWidth="1"/>
    <col min="4359" max="4359" width="10" customWidth="1"/>
    <col min="4361" max="4361" width="43.5703125" customWidth="1"/>
    <col min="4362" max="4362" width="0.42578125" customWidth="1"/>
    <col min="4363" max="4363" width="4.42578125" customWidth="1"/>
    <col min="4369" max="4369" width="10.28515625" customWidth="1"/>
    <col min="4371" max="4371" width="53.42578125" customWidth="1"/>
    <col min="4609" max="4609" width="3.42578125" customWidth="1"/>
    <col min="4615" max="4615" width="10" customWidth="1"/>
    <col min="4617" max="4617" width="43.5703125" customWidth="1"/>
    <col min="4618" max="4618" width="0.42578125" customWidth="1"/>
    <col min="4619" max="4619" width="4.42578125" customWidth="1"/>
    <col min="4625" max="4625" width="10.28515625" customWidth="1"/>
    <col min="4627" max="4627" width="53.42578125" customWidth="1"/>
    <col min="4865" max="4865" width="3.42578125" customWidth="1"/>
    <col min="4871" max="4871" width="10" customWidth="1"/>
    <col min="4873" max="4873" width="43.5703125" customWidth="1"/>
    <col min="4874" max="4874" width="0.42578125" customWidth="1"/>
    <col min="4875" max="4875" width="4.42578125" customWidth="1"/>
    <col min="4881" max="4881" width="10.28515625" customWidth="1"/>
    <col min="4883" max="4883" width="53.42578125" customWidth="1"/>
    <col min="5121" max="5121" width="3.42578125" customWidth="1"/>
    <col min="5127" max="5127" width="10" customWidth="1"/>
    <col min="5129" max="5129" width="43.5703125" customWidth="1"/>
    <col min="5130" max="5130" width="0.42578125" customWidth="1"/>
    <col min="5131" max="5131" width="4.42578125" customWidth="1"/>
    <col min="5137" max="5137" width="10.28515625" customWidth="1"/>
    <col min="5139" max="5139" width="53.42578125" customWidth="1"/>
    <col min="5377" max="5377" width="3.42578125" customWidth="1"/>
    <col min="5383" max="5383" width="10" customWidth="1"/>
    <col min="5385" max="5385" width="43.5703125" customWidth="1"/>
    <col min="5386" max="5386" width="0.42578125" customWidth="1"/>
    <col min="5387" max="5387" width="4.42578125" customWidth="1"/>
    <col min="5393" max="5393" width="10.28515625" customWidth="1"/>
    <col min="5395" max="5395" width="53.42578125" customWidth="1"/>
    <col min="5633" max="5633" width="3.42578125" customWidth="1"/>
    <col min="5639" max="5639" width="10" customWidth="1"/>
    <col min="5641" max="5641" width="43.5703125" customWidth="1"/>
    <col min="5642" max="5642" width="0.42578125" customWidth="1"/>
    <col min="5643" max="5643" width="4.42578125" customWidth="1"/>
    <col min="5649" max="5649" width="10.28515625" customWidth="1"/>
    <col min="5651" max="5651" width="53.42578125" customWidth="1"/>
    <col min="5889" max="5889" width="3.42578125" customWidth="1"/>
    <col min="5895" max="5895" width="10" customWidth="1"/>
    <col min="5897" max="5897" width="43.5703125" customWidth="1"/>
    <col min="5898" max="5898" width="0.42578125" customWidth="1"/>
    <col min="5899" max="5899" width="4.42578125" customWidth="1"/>
    <col min="5905" max="5905" width="10.28515625" customWidth="1"/>
    <col min="5907" max="5907" width="53.42578125" customWidth="1"/>
    <col min="6145" max="6145" width="3.42578125" customWidth="1"/>
    <col min="6151" max="6151" width="10" customWidth="1"/>
    <col min="6153" max="6153" width="43.5703125" customWidth="1"/>
    <col min="6154" max="6154" width="0.42578125" customWidth="1"/>
    <col min="6155" max="6155" width="4.42578125" customWidth="1"/>
    <col min="6161" max="6161" width="10.28515625" customWidth="1"/>
    <col min="6163" max="6163" width="53.42578125" customWidth="1"/>
    <col min="6401" max="6401" width="3.42578125" customWidth="1"/>
    <col min="6407" max="6407" width="10" customWidth="1"/>
    <col min="6409" max="6409" width="43.5703125" customWidth="1"/>
    <col min="6410" max="6410" width="0.42578125" customWidth="1"/>
    <col min="6411" max="6411" width="4.42578125" customWidth="1"/>
    <col min="6417" max="6417" width="10.28515625" customWidth="1"/>
    <col min="6419" max="6419" width="53.42578125" customWidth="1"/>
    <col min="6657" max="6657" width="3.42578125" customWidth="1"/>
    <col min="6663" max="6663" width="10" customWidth="1"/>
    <col min="6665" max="6665" width="43.5703125" customWidth="1"/>
    <col min="6666" max="6666" width="0.42578125" customWidth="1"/>
    <col min="6667" max="6667" width="4.42578125" customWidth="1"/>
    <col min="6673" max="6673" width="10.28515625" customWidth="1"/>
    <col min="6675" max="6675" width="53.42578125" customWidth="1"/>
    <col min="6913" max="6913" width="3.42578125" customWidth="1"/>
    <col min="6919" max="6919" width="10" customWidth="1"/>
    <col min="6921" max="6921" width="43.5703125" customWidth="1"/>
    <col min="6922" max="6922" width="0.42578125" customWidth="1"/>
    <col min="6923" max="6923" width="4.42578125" customWidth="1"/>
    <col min="6929" max="6929" width="10.28515625" customWidth="1"/>
    <col min="6931" max="6931" width="53.42578125" customWidth="1"/>
    <col min="7169" max="7169" width="3.42578125" customWidth="1"/>
    <col min="7175" max="7175" width="10" customWidth="1"/>
    <col min="7177" max="7177" width="43.5703125" customWidth="1"/>
    <col min="7178" max="7178" width="0.42578125" customWidth="1"/>
    <col min="7179" max="7179" width="4.42578125" customWidth="1"/>
    <col min="7185" max="7185" width="10.28515625" customWidth="1"/>
    <col min="7187" max="7187" width="53.42578125" customWidth="1"/>
    <col min="7425" max="7425" width="3.42578125" customWidth="1"/>
    <col min="7431" max="7431" width="10" customWidth="1"/>
    <col min="7433" max="7433" width="43.5703125" customWidth="1"/>
    <col min="7434" max="7434" width="0.42578125" customWidth="1"/>
    <col min="7435" max="7435" width="4.42578125" customWidth="1"/>
    <col min="7441" max="7441" width="10.28515625" customWidth="1"/>
    <col min="7443" max="7443" width="53.42578125" customWidth="1"/>
    <col min="7681" max="7681" width="3.42578125" customWidth="1"/>
    <col min="7687" max="7687" width="10" customWidth="1"/>
    <col min="7689" max="7689" width="43.5703125" customWidth="1"/>
    <col min="7690" max="7690" width="0.42578125" customWidth="1"/>
    <col min="7691" max="7691" width="4.42578125" customWidth="1"/>
    <col min="7697" max="7697" width="10.28515625" customWidth="1"/>
    <col min="7699" max="7699" width="53.42578125" customWidth="1"/>
    <col min="7937" max="7937" width="3.42578125" customWidth="1"/>
    <col min="7943" max="7943" width="10" customWidth="1"/>
    <col min="7945" max="7945" width="43.5703125" customWidth="1"/>
    <col min="7946" max="7946" width="0.42578125" customWidth="1"/>
    <col min="7947" max="7947" width="4.42578125" customWidth="1"/>
    <col min="7953" max="7953" width="10.28515625" customWidth="1"/>
    <col min="7955" max="7955" width="53.42578125" customWidth="1"/>
    <col min="8193" max="8193" width="3.42578125" customWidth="1"/>
    <col min="8199" max="8199" width="10" customWidth="1"/>
    <col min="8201" max="8201" width="43.5703125" customWidth="1"/>
    <col min="8202" max="8202" width="0.42578125" customWidth="1"/>
    <col min="8203" max="8203" width="4.42578125" customWidth="1"/>
    <col min="8209" max="8209" width="10.28515625" customWidth="1"/>
    <col min="8211" max="8211" width="53.42578125" customWidth="1"/>
    <col min="8449" max="8449" width="3.42578125" customWidth="1"/>
    <col min="8455" max="8455" width="10" customWidth="1"/>
    <col min="8457" max="8457" width="43.5703125" customWidth="1"/>
    <col min="8458" max="8458" width="0.42578125" customWidth="1"/>
    <col min="8459" max="8459" width="4.42578125" customWidth="1"/>
    <col min="8465" max="8465" width="10.28515625" customWidth="1"/>
    <col min="8467" max="8467" width="53.42578125" customWidth="1"/>
    <col min="8705" max="8705" width="3.42578125" customWidth="1"/>
    <col min="8711" max="8711" width="10" customWidth="1"/>
    <col min="8713" max="8713" width="43.5703125" customWidth="1"/>
    <col min="8714" max="8714" width="0.42578125" customWidth="1"/>
    <col min="8715" max="8715" width="4.42578125" customWidth="1"/>
    <col min="8721" max="8721" width="10.28515625" customWidth="1"/>
    <col min="8723" max="8723" width="53.42578125" customWidth="1"/>
    <col min="8961" max="8961" width="3.42578125" customWidth="1"/>
    <col min="8967" max="8967" width="10" customWidth="1"/>
    <col min="8969" max="8969" width="43.5703125" customWidth="1"/>
    <col min="8970" max="8970" width="0.42578125" customWidth="1"/>
    <col min="8971" max="8971" width="4.42578125" customWidth="1"/>
    <col min="8977" max="8977" width="10.28515625" customWidth="1"/>
    <col min="8979" max="8979" width="53.42578125" customWidth="1"/>
    <col min="9217" max="9217" width="3.42578125" customWidth="1"/>
    <col min="9223" max="9223" width="10" customWidth="1"/>
    <col min="9225" max="9225" width="43.5703125" customWidth="1"/>
    <col min="9226" max="9226" width="0.42578125" customWidth="1"/>
    <col min="9227" max="9227" width="4.42578125" customWidth="1"/>
    <col min="9233" max="9233" width="10.28515625" customWidth="1"/>
    <col min="9235" max="9235" width="53.42578125" customWidth="1"/>
    <col min="9473" max="9473" width="3.42578125" customWidth="1"/>
    <col min="9479" max="9479" width="10" customWidth="1"/>
    <col min="9481" max="9481" width="43.5703125" customWidth="1"/>
    <col min="9482" max="9482" width="0.42578125" customWidth="1"/>
    <col min="9483" max="9483" width="4.42578125" customWidth="1"/>
    <col min="9489" max="9489" width="10.28515625" customWidth="1"/>
    <col min="9491" max="9491" width="53.42578125" customWidth="1"/>
    <col min="9729" max="9729" width="3.42578125" customWidth="1"/>
    <col min="9735" max="9735" width="10" customWidth="1"/>
    <col min="9737" max="9737" width="43.5703125" customWidth="1"/>
    <col min="9738" max="9738" width="0.42578125" customWidth="1"/>
    <col min="9739" max="9739" width="4.42578125" customWidth="1"/>
    <col min="9745" max="9745" width="10.28515625" customWidth="1"/>
    <col min="9747" max="9747" width="53.42578125" customWidth="1"/>
    <col min="9985" max="9985" width="3.42578125" customWidth="1"/>
    <col min="9991" max="9991" width="10" customWidth="1"/>
    <col min="9993" max="9993" width="43.5703125" customWidth="1"/>
    <col min="9994" max="9994" width="0.42578125" customWidth="1"/>
    <col min="9995" max="9995" width="4.42578125" customWidth="1"/>
    <col min="10001" max="10001" width="10.28515625" customWidth="1"/>
    <col min="10003" max="10003" width="53.42578125" customWidth="1"/>
    <col min="10241" max="10241" width="3.42578125" customWidth="1"/>
    <col min="10247" max="10247" width="10" customWidth="1"/>
    <col min="10249" max="10249" width="43.5703125" customWidth="1"/>
    <col min="10250" max="10250" width="0.42578125" customWidth="1"/>
    <col min="10251" max="10251" width="4.42578125" customWidth="1"/>
    <col min="10257" max="10257" width="10.28515625" customWidth="1"/>
    <col min="10259" max="10259" width="53.42578125" customWidth="1"/>
    <col min="10497" max="10497" width="3.42578125" customWidth="1"/>
    <col min="10503" max="10503" width="10" customWidth="1"/>
    <col min="10505" max="10505" width="43.5703125" customWidth="1"/>
    <col min="10506" max="10506" width="0.42578125" customWidth="1"/>
    <col min="10507" max="10507" width="4.42578125" customWidth="1"/>
    <col min="10513" max="10513" width="10.28515625" customWidth="1"/>
    <col min="10515" max="10515" width="53.42578125" customWidth="1"/>
    <col min="10753" max="10753" width="3.42578125" customWidth="1"/>
    <col min="10759" max="10759" width="10" customWidth="1"/>
    <col min="10761" max="10761" width="43.5703125" customWidth="1"/>
    <col min="10762" max="10762" width="0.42578125" customWidth="1"/>
    <col min="10763" max="10763" width="4.42578125" customWidth="1"/>
    <col min="10769" max="10769" width="10.28515625" customWidth="1"/>
    <col min="10771" max="10771" width="53.42578125" customWidth="1"/>
    <col min="11009" max="11009" width="3.42578125" customWidth="1"/>
    <col min="11015" max="11015" width="10" customWidth="1"/>
    <col min="11017" max="11017" width="43.5703125" customWidth="1"/>
    <col min="11018" max="11018" width="0.42578125" customWidth="1"/>
    <col min="11019" max="11019" width="4.42578125" customWidth="1"/>
    <col min="11025" max="11025" width="10.28515625" customWidth="1"/>
    <col min="11027" max="11027" width="53.42578125" customWidth="1"/>
    <col min="11265" max="11265" width="3.42578125" customWidth="1"/>
    <col min="11271" max="11271" width="10" customWidth="1"/>
    <col min="11273" max="11273" width="43.5703125" customWidth="1"/>
    <col min="11274" max="11274" width="0.42578125" customWidth="1"/>
    <col min="11275" max="11275" width="4.42578125" customWidth="1"/>
    <col min="11281" max="11281" width="10.28515625" customWidth="1"/>
    <col min="11283" max="11283" width="53.42578125" customWidth="1"/>
    <col min="11521" max="11521" width="3.42578125" customWidth="1"/>
    <col min="11527" max="11527" width="10" customWidth="1"/>
    <col min="11529" max="11529" width="43.5703125" customWidth="1"/>
    <col min="11530" max="11530" width="0.42578125" customWidth="1"/>
    <col min="11531" max="11531" width="4.42578125" customWidth="1"/>
    <col min="11537" max="11537" width="10.28515625" customWidth="1"/>
    <col min="11539" max="11539" width="53.42578125" customWidth="1"/>
    <col min="11777" max="11777" width="3.42578125" customWidth="1"/>
    <col min="11783" max="11783" width="10" customWidth="1"/>
    <col min="11785" max="11785" width="43.5703125" customWidth="1"/>
    <col min="11786" max="11786" width="0.42578125" customWidth="1"/>
    <col min="11787" max="11787" width="4.42578125" customWidth="1"/>
    <col min="11793" max="11793" width="10.28515625" customWidth="1"/>
    <col min="11795" max="11795" width="53.42578125" customWidth="1"/>
    <col min="12033" max="12033" width="3.42578125" customWidth="1"/>
    <col min="12039" max="12039" width="10" customWidth="1"/>
    <col min="12041" max="12041" width="43.5703125" customWidth="1"/>
    <col min="12042" max="12042" width="0.42578125" customWidth="1"/>
    <col min="12043" max="12043" width="4.42578125" customWidth="1"/>
    <col min="12049" max="12049" width="10.28515625" customWidth="1"/>
    <col min="12051" max="12051" width="53.42578125" customWidth="1"/>
    <col min="12289" max="12289" width="3.42578125" customWidth="1"/>
    <col min="12295" max="12295" width="10" customWidth="1"/>
    <col min="12297" max="12297" width="43.5703125" customWidth="1"/>
    <col min="12298" max="12298" width="0.42578125" customWidth="1"/>
    <col min="12299" max="12299" width="4.42578125" customWidth="1"/>
    <col min="12305" max="12305" width="10.28515625" customWidth="1"/>
    <col min="12307" max="12307" width="53.42578125" customWidth="1"/>
    <col min="12545" max="12545" width="3.42578125" customWidth="1"/>
    <col min="12551" max="12551" width="10" customWidth="1"/>
    <col min="12553" max="12553" width="43.5703125" customWidth="1"/>
    <col min="12554" max="12554" width="0.42578125" customWidth="1"/>
    <col min="12555" max="12555" width="4.42578125" customWidth="1"/>
    <col min="12561" max="12561" width="10.28515625" customWidth="1"/>
    <col min="12563" max="12563" width="53.42578125" customWidth="1"/>
    <col min="12801" max="12801" width="3.42578125" customWidth="1"/>
    <col min="12807" max="12807" width="10" customWidth="1"/>
    <col min="12809" max="12809" width="43.5703125" customWidth="1"/>
    <col min="12810" max="12810" width="0.42578125" customWidth="1"/>
    <col min="12811" max="12811" width="4.42578125" customWidth="1"/>
    <col min="12817" max="12817" width="10.28515625" customWidth="1"/>
    <col min="12819" max="12819" width="53.42578125" customWidth="1"/>
    <col min="13057" max="13057" width="3.42578125" customWidth="1"/>
    <col min="13063" max="13063" width="10" customWidth="1"/>
    <col min="13065" max="13065" width="43.5703125" customWidth="1"/>
    <col min="13066" max="13066" width="0.42578125" customWidth="1"/>
    <col min="13067" max="13067" width="4.42578125" customWidth="1"/>
    <col min="13073" max="13073" width="10.28515625" customWidth="1"/>
    <col min="13075" max="13075" width="53.42578125" customWidth="1"/>
    <col min="13313" max="13313" width="3.42578125" customWidth="1"/>
    <col min="13319" max="13319" width="10" customWidth="1"/>
    <col min="13321" max="13321" width="43.5703125" customWidth="1"/>
    <col min="13322" max="13322" width="0.42578125" customWidth="1"/>
    <col min="13323" max="13323" width="4.42578125" customWidth="1"/>
    <col min="13329" max="13329" width="10.28515625" customWidth="1"/>
    <col min="13331" max="13331" width="53.42578125" customWidth="1"/>
    <col min="13569" max="13569" width="3.42578125" customWidth="1"/>
    <col min="13575" max="13575" width="10" customWidth="1"/>
    <col min="13577" max="13577" width="43.5703125" customWidth="1"/>
    <col min="13578" max="13578" width="0.42578125" customWidth="1"/>
    <col min="13579" max="13579" width="4.42578125" customWidth="1"/>
    <col min="13585" max="13585" width="10.28515625" customWidth="1"/>
    <col min="13587" max="13587" width="53.42578125" customWidth="1"/>
    <col min="13825" max="13825" width="3.42578125" customWidth="1"/>
    <col min="13831" max="13831" width="10" customWidth="1"/>
    <col min="13833" max="13833" width="43.5703125" customWidth="1"/>
    <col min="13834" max="13834" width="0.42578125" customWidth="1"/>
    <col min="13835" max="13835" width="4.42578125" customWidth="1"/>
    <col min="13841" max="13841" width="10.28515625" customWidth="1"/>
    <col min="13843" max="13843" width="53.42578125" customWidth="1"/>
    <col min="14081" max="14081" width="3.42578125" customWidth="1"/>
    <col min="14087" max="14087" width="10" customWidth="1"/>
    <col min="14089" max="14089" width="43.5703125" customWidth="1"/>
    <col min="14090" max="14090" width="0.42578125" customWidth="1"/>
    <col min="14091" max="14091" width="4.42578125" customWidth="1"/>
    <col min="14097" max="14097" width="10.28515625" customWidth="1"/>
    <col min="14099" max="14099" width="53.42578125" customWidth="1"/>
    <col min="14337" max="14337" width="3.42578125" customWidth="1"/>
    <col min="14343" max="14343" width="10" customWidth="1"/>
    <col min="14345" max="14345" width="43.5703125" customWidth="1"/>
    <col min="14346" max="14346" width="0.42578125" customWidth="1"/>
    <col min="14347" max="14347" width="4.42578125" customWidth="1"/>
    <col min="14353" max="14353" width="10.28515625" customWidth="1"/>
    <col min="14355" max="14355" width="53.42578125" customWidth="1"/>
    <col min="14593" max="14593" width="3.42578125" customWidth="1"/>
    <col min="14599" max="14599" width="10" customWidth="1"/>
    <col min="14601" max="14601" width="43.5703125" customWidth="1"/>
    <col min="14602" max="14602" width="0.42578125" customWidth="1"/>
    <col min="14603" max="14603" width="4.42578125" customWidth="1"/>
    <col min="14609" max="14609" width="10.28515625" customWidth="1"/>
    <col min="14611" max="14611" width="53.42578125" customWidth="1"/>
    <col min="14849" max="14849" width="3.42578125" customWidth="1"/>
    <col min="14855" max="14855" width="10" customWidth="1"/>
    <col min="14857" max="14857" width="43.5703125" customWidth="1"/>
    <col min="14858" max="14858" width="0.42578125" customWidth="1"/>
    <col min="14859" max="14859" width="4.42578125" customWidth="1"/>
    <col min="14865" max="14865" width="10.28515625" customWidth="1"/>
    <col min="14867" max="14867" width="53.42578125" customWidth="1"/>
    <col min="15105" max="15105" width="3.42578125" customWidth="1"/>
    <col min="15111" max="15111" width="10" customWidth="1"/>
    <col min="15113" max="15113" width="43.5703125" customWidth="1"/>
    <col min="15114" max="15114" width="0.42578125" customWidth="1"/>
    <col min="15115" max="15115" width="4.42578125" customWidth="1"/>
    <col min="15121" max="15121" width="10.28515625" customWidth="1"/>
    <col min="15123" max="15123" width="53.42578125" customWidth="1"/>
    <col min="15361" max="15361" width="3.42578125" customWidth="1"/>
    <col min="15367" max="15367" width="10" customWidth="1"/>
    <col min="15369" max="15369" width="43.5703125" customWidth="1"/>
    <col min="15370" max="15370" width="0.42578125" customWidth="1"/>
    <col min="15371" max="15371" width="4.42578125" customWidth="1"/>
    <col min="15377" max="15377" width="10.28515625" customWidth="1"/>
    <col min="15379" max="15379" width="53.42578125" customWidth="1"/>
    <col min="15617" max="15617" width="3.42578125" customWidth="1"/>
    <col min="15623" max="15623" width="10" customWidth="1"/>
    <col min="15625" max="15625" width="43.5703125" customWidth="1"/>
    <col min="15626" max="15626" width="0.42578125" customWidth="1"/>
    <col min="15627" max="15627" width="4.42578125" customWidth="1"/>
    <col min="15633" max="15633" width="10.28515625" customWidth="1"/>
    <col min="15635" max="15635" width="53.42578125" customWidth="1"/>
    <col min="15873" max="15873" width="3.42578125" customWidth="1"/>
    <col min="15879" max="15879" width="10" customWidth="1"/>
    <col min="15881" max="15881" width="43.5703125" customWidth="1"/>
    <col min="15882" max="15882" width="0.42578125" customWidth="1"/>
    <col min="15883" max="15883" width="4.42578125" customWidth="1"/>
    <col min="15889" max="15889" width="10.28515625" customWidth="1"/>
    <col min="15891" max="15891" width="53.42578125" customWidth="1"/>
    <col min="16129" max="16129" width="3.42578125" customWidth="1"/>
    <col min="16135" max="16135" width="10" customWidth="1"/>
    <col min="16137" max="16137" width="43.5703125" customWidth="1"/>
    <col min="16138" max="16138" width="0.42578125" customWidth="1"/>
    <col min="16139" max="16139" width="4.42578125" customWidth="1"/>
    <col min="16145" max="16145" width="10.28515625" customWidth="1"/>
    <col min="16147" max="16147" width="53.4257812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417</v>
      </c>
      <c r="E2" s="3"/>
      <c r="F2" s="3"/>
      <c r="G2" s="3"/>
      <c r="H2" s="3"/>
      <c r="I2" s="3"/>
      <c r="K2" s="3" t="s">
        <v>205</v>
      </c>
      <c r="L2" s="3"/>
      <c r="M2" s="3"/>
      <c r="N2" s="3" t="s">
        <v>418</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1472.8</v>
      </c>
      <c r="G4" s="3" t="s">
        <v>207</v>
      </c>
      <c r="H4" s="3"/>
      <c r="I4" s="3"/>
      <c r="J4" s="3"/>
      <c r="K4" s="3"/>
      <c r="L4" s="5" t="s">
        <v>206</v>
      </c>
      <c r="M4" s="3"/>
      <c r="N4" s="3"/>
      <c r="O4" s="3"/>
      <c r="P4" s="3">
        <v>1553</v>
      </c>
      <c r="Q4" s="3" t="s">
        <v>207</v>
      </c>
      <c r="R4" s="3"/>
      <c r="S4" s="3"/>
    </row>
    <row r="5" spans="1:19" ht="15" customHeight="1" x14ac:dyDescent="0.25">
      <c r="A5" s="175" t="s">
        <v>209</v>
      </c>
      <c r="B5" s="177" t="s">
        <v>210</v>
      </c>
      <c r="C5" s="178"/>
      <c r="D5" s="178"/>
      <c r="E5" s="178"/>
      <c r="F5" s="178"/>
      <c r="G5" s="180" t="s">
        <v>442</v>
      </c>
      <c r="H5" s="181"/>
      <c r="I5" s="175" t="s">
        <v>212</v>
      </c>
      <c r="J5" s="31"/>
      <c r="K5" s="175" t="s">
        <v>209</v>
      </c>
      <c r="L5" s="177" t="s">
        <v>210</v>
      </c>
      <c r="M5" s="178"/>
      <c r="N5" s="178"/>
      <c r="O5" s="178"/>
      <c r="P5" s="178"/>
      <c r="Q5" s="180" t="s">
        <v>442</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28455.15</v>
      </c>
      <c r="H7" s="191"/>
      <c r="I7" s="192"/>
      <c r="J7" s="33"/>
      <c r="K7" s="185" t="s">
        <v>213</v>
      </c>
      <c r="L7" s="187" t="s">
        <v>354</v>
      </c>
      <c r="M7" s="188"/>
      <c r="N7" s="188"/>
      <c r="O7" s="188"/>
      <c r="P7" s="188"/>
      <c r="Q7" s="190">
        <v>-2165.8200000000002</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1.29*12*F4</f>
        <v>22798.944</v>
      </c>
      <c r="H9" s="164"/>
      <c r="I9" s="169" t="s">
        <v>215</v>
      </c>
      <c r="J9" s="35"/>
      <c r="K9" s="6"/>
      <c r="L9" s="161" t="s">
        <v>214</v>
      </c>
      <c r="M9" s="162"/>
      <c r="N9" s="162"/>
      <c r="O9" s="162"/>
      <c r="P9" s="162"/>
      <c r="Q9" s="163">
        <f>1.62*12*P4</f>
        <v>30190.320000000003</v>
      </c>
      <c r="R9" s="164"/>
      <c r="S9" s="169" t="s">
        <v>215</v>
      </c>
    </row>
    <row r="10" spans="1:19" ht="31.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3.5"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13.5" customHeight="1" thickBot="1" x14ac:dyDescent="0.3">
      <c r="A13" s="7"/>
      <c r="B13" s="141" t="s">
        <v>221</v>
      </c>
      <c r="C13" s="142"/>
      <c r="D13" s="142"/>
      <c r="E13" s="142"/>
      <c r="F13" s="142"/>
      <c r="G13" s="143">
        <f>0.3*12*F4</f>
        <v>5302.079999999999</v>
      </c>
      <c r="H13" s="144"/>
      <c r="I13" s="8" t="s">
        <v>222</v>
      </c>
      <c r="J13" s="38"/>
      <c r="K13" s="7"/>
      <c r="L13" s="141" t="s">
        <v>221</v>
      </c>
      <c r="M13" s="142"/>
      <c r="N13" s="142"/>
      <c r="O13" s="142"/>
      <c r="P13" s="142"/>
      <c r="Q13" s="143">
        <f>0.3*12*P4</f>
        <v>5590.7999999999993</v>
      </c>
      <c r="R13" s="144"/>
      <c r="S13" s="8" t="s">
        <v>222</v>
      </c>
    </row>
    <row r="14" spans="1:19" ht="13.5" customHeight="1" x14ac:dyDescent="0.25">
      <c r="A14" s="9"/>
      <c r="B14" s="145" t="s">
        <v>223</v>
      </c>
      <c r="C14" s="146"/>
      <c r="D14" s="146"/>
      <c r="E14" s="146"/>
      <c r="F14" s="146"/>
      <c r="G14" s="86">
        <f>1.45*12*F4</f>
        <v>25626.719999999998</v>
      </c>
      <c r="H14" s="147"/>
      <c r="I14" s="152" t="s">
        <v>224</v>
      </c>
      <c r="J14" s="38"/>
      <c r="K14" s="9"/>
      <c r="L14" s="145" t="s">
        <v>223</v>
      </c>
      <c r="M14" s="146"/>
      <c r="N14" s="146"/>
      <c r="O14" s="146"/>
      <c r="P14" s="146"/>
      <c r="Q14" s="86">
        <f>2.2*12*P4</f>
        <v>40999.200000000004</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0.04*12*F4</f>
        <v>706.94399999999996</v>
      </c>
      <c r="H18" s="87"/>
      <c r="I18" s="129" t="s">
        <v>220</v>
      </c>
      <c r="J18" s="36"/>
      <c r="K18" s="12"/>
      <c r="L18" s="125" t="s">
        <v>230</v>
      </c>
      <c r="M18" s="126"/>
      <c r="N18" s="126"/>
      <c r="O18" s="126"/>
      <c r="P18" s="126"/>
      <c r="Q18" s="86">
        <f>0.048*12*P4</f>
        <v>894.52800000000013</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13.5" customHeight="1" thickBot="1" x14ac:dyDescent="0.3">
      <c r="A21" s="13"/>
      <c r="B21" s="84" t="s">
        <v>233</v>
      </c>
      <c r="C21" s="85"/>
      <c r="D21" s="85"/>
      <c r="E21" s="85"/>
      <c r="F21" s="85"/>
      <c r="G21" s="86">
        <f>0.95*12*F4</f>
        <v>16789.919999999998</v>
      </c>
      <c r="H21" s="87"/>
      <c r="I21" s="320" t="s">
        <v>658</v>
      </c>
      <c r="J21" s="41"/>
      <c r="K21" s="13"/>
      <c r="L21" s="84" t="s">
        <v>233</v>
      </c>
      <c r="M21" s="85"/>
      <c r="N21" s="85"/>
      <c r="O21" s="85"/>
      <c r="P21" s="85"/>
      <c r="Q21" s="86">
        <f>1.99*12*P4</f>
        <v>37085.64</v>
      </c>
      <c r="R21" s="87"/>
      <c r="S21" s="320" t="s">
        <v>659</v>
      </c>
    </row>
    <row r="22" spans="1:19" ht="13.5" customHeight="1" x14ac:dyDescent="0.25">
      <c r="A22" s="118"/>
      <c r="B22" s="121" t="s">
        <v>226</v>
      </c>
      <c r="C22" s="122"/>
      <c r="D22" s="122"/>
      <c r="E22" s="122"/>
      <c r="F22" s="122"/>
      <c r="G22" s="88"/>
      <c r="H22" s="89"/>
      <c r="I22" s="321"/>
      <c r="J22" s="41"/>
      <c r="K22" s="118"/>
      <c r="L22" s="121" t="s">
        <v>226</v>
      </c>
      <c r="M22" s="122"/>
      <c r="N22" s="122"/>
      <c r="O22" s="122"/>
      <c r="P22" s="122"/>
      <c r="Q22" s="88"/>
      <c r="R22" s="89"/>
      <c r="S22" s="321"/>
    </row>
    <row r="23" spans="1:19" ht="13.5" customHeight="1" x14ac:dyDescent="0.25">
      <c r="A23" s="119"/>
      <c r="B23" s="121" t="s">
        <v>227</v>
      </c>
      <c r="C23" s="122"/>
      <c r="D23" s="122"/>
      <c r="E23" s="122"/>
      <c r="F23" s="122"/>
      <c r="G23" s="88"/>
      <c r="H23" s="89"/>
      <c r="I23" s="321"/>
      <c r="J23" s="42"/>
      <c r="K23" s="119"/>
      <c r="L23" s="121" t="s">
        <v>227</v>
      </c>
      <c r="M23" s="122"/>
      <c r="N23" s="122"/>
      <c r="O23" s="122"/>
      <c r="P23" s="122"/>
      <c r="Q23" s="88"/>
      <c r="R23" s="89"/>
      <c r="S23" s="321"/>
    </row>
    <row r="24" spans="1:19" ht="42.75" customHeight="1" x14ac:dyDescent="0.25">
      <c r="A24" s="119"/>
      <c r="B24" s="121" t="s">
        <v>228</v>
      </c>
      <c r="C24" s="122"/>
      <c r="D24" s="122"/>
      <c r="E24" s="122"/>
      <c r="F24" s="122"/>
      <c r="G24" s="88"/>
      <c r="H24" s="89"/>
      <c r="I24" s="321"/>
      <c r="J24" s="43"/>
      <c r="K24" s="119"/>
      <c r="L24" s="121" t="s">
        <v>228</v>
      </c>
      <c r="M24" s="122"/>
      <c r="N24" s="122"/>
      <c r="O24" s="122"/>
      <c r="P24" s="122"/>
      <c r="Q24" s="88"/>
      <c r="R24" s="89"/>
      <c r="S24" s="321"/>
    </row>
    <row r="25" spans="1:19" ht="69.75" customHeight="1" thickBot="1" x14ac:dyDescent="0.3">
      <c r="A25" s="120"/>
      <c r="B25" s="123" t="s">
        <v>234</v>
      </c>
      <c r="C25" s="124"/>
      <c r="D25" s="124"/>
      <c r="E25" s="124"/>
      <c r="F25" s="124"/>
      <c r="G25" s="90"/>
      <c r="H25" s="91"/>
      <c r="I25" s="322"/>
      <c r="J25" s="44"/>
      <c r="K25" s="120"/>
      <c r="L25" s="123" t="s">
        <v>234</v>
      </c>
      <c r="M25" s="124"/>
      <c r="N25" s="124"/>
      <c r="O25" s="124"/>
      <c r="P25" s="124"/>
      <c r="Q25" s="90"/>
      <c r="R25" s="91"/>
      <c r="S25" s="322"/>
    </row>
    <row r="26" spans="1:19" ht="0.75" customHeight="1" thickBot="1" x14ac:dyDescent="0.3">
      <c r="A26" s="15"/>
      <c r="B26" s="137" t="s">
        <v>248</v>
      </c>
      <c r="C26" s="138"/>
      <c r="D26" s="138"/>
      <c r="E26" s="138"/>
      <c r="F26" s="138"/>
      <c r="G26" s="139"/>
      <c r="H26" s="140"/>
      <c r="I26" s="16"/>
      <c r="J26" s="40"/>
      <c r="K26" s="15"/>
      <c r="L26" s="137" t="s">
        <v>248</v>
      </c>
      <c r="M26" s="138"/>
      <c r="N26" s="138"/>
      <c r="O26" s="138"/>
      <c r="P26" s="138"/>
      <c r="Q26" s="139"/>
      <c r="R26" s="140"/>
      <c r="S26" s="16"/>
    </row>
    <row r="27" spans="1:19" ht="2.25" customHeight="1" thickBot="1" x14ac:dyDescent="0.3">
      <c r="A27" s="15"/>
      <c r="B27" s="137" t="s">
        <v>235</v>
      </c>
      <c r="C27" s="138"/>
      <c r="D27" s="138"/>
      <c r="E27" s="138"/>
      <c r="F27" s="138"/>
      <c r="G27" s="139"/>
      <c r="H27" s="140"/>
      <c r="I27" s="16"/>
      <c r="J27" s="45"/>
      <c r="K27" s="15"/>
      <c r="L27" s="137" t="s">
        <v>235</v>
      </c>
      <c r="M27" s="138"/>
      <c r="N27" s="138"/>
      <c r="O27" s="138"/>
      <c r="P27" s="138"/>
      <c r="Q27" s="139"/>
      <c r="R27" s="140"/>
      <c r="S27" s="16"/>
    </row>
    <row r="28" spans="1:19" ht="30.75" customHeight="1" thickBot="1" x14ac:dyDescent="0.3">
      <c r="A28" s="17"/>
      <c r="B28" s="78" t="s">
        <v>237</v>
      </c>
      <c r="C28" s="79"/>
      <c r="D28" s="79"/>
      <c r="E28" s="79"/>
      <c r="F28" s="79"/>
      <c r="G28" s="86">
        <v>13258</v>
      </c>
      <c r="H28" s="87"/>
      <c r="I28" s="108" t="s">
        <v>229</v>
      </c>
      <c r="J28" s="41"/>
      <c r="K28" s="17"/>
      <c r="L28" s="78" t="s">
        <v>237</v>
      </c>
      <c r="M28" s="79"/>
      <c r="N28" s="79"/>
      <c r="O28" s="79"/>
      <c r="P28" s="79"/>
      <c r="Q28" s="86">
        <v>2601</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84482.607999999993</v>
      </c>
      <c r="H30" s="115"/>
      <c r="I30" s="20"/>
      <c r="J30" s="47"/>
      <c r="K30" s="19"/>
      <c r="L30" s="112" t="s">
        <v>239</v>
      </c>
      <c r="M30" s="113"/>
      <c r="N30" s="113"/>
      <c r="O30" s="113"/>
      <c r="P30" s="113"/>
      <c r="Q30" s="114">
        <f>SUM(Q9:R29)</f>
        <v>117361.48800000001</v>
      </c>
      <c r="R30" s="115"/>
      <c r="S30" s="20"/>
    </row>
    <row r="31" spans="1:19" ht="24" customHeight="1" thickBot="1" x14ac:dyDescent="0.3">
      <c r="A31" s="21"/>
      <c r="B31" s="101" t="s">
        <v>240</v>
      </c>
      <c r="C31" s="102"/>
      <c r="D31" s="102"/>
      <c r="E31" s="102"/>
      <c r="F31" s="102"/>
      <c r="G31" s="116">
        <f>G30*1.2</f>
        <v>101379.12959999999</v>
      </c>
      <c r="H31" s="117"/>
      <c r="I31" s="22"/>
      <c r="J31" s="47"/>
      <c r="K31" s="21"/>
      <c r="L31" s="101" t="s">
        <v>240</v>
      </c>
      <c r="M31" s="102"/>
      <c r="N31" s="102"/>
      <c r="O31" s="102"/>
      <c r="P31" s="102"/>
      <c r="Q31" s="116">
        <f>Q30*1.2</f>
        <v>140833.7856</v>
      </c>
      <c r="R31" s="117"/>
      <c r="S31" s="22"/>
    </row>
    <row r="32" spans="1:19" ht="24" customHeight="1" thickBot="1" x14ac:dyDescent="0.3">
      <c r="A32" s="24"/>
      <c r="B32" s="96" t="s">
        <v>443</v>
      </c>
      <c r="C32" s="97"/>
      <c r="D32" s="97"/>
      <c r="E32" s="97"/>
      <c r="F32" s="97"/>
      <c r="G32" s="311">
        <v>101124.12</v>
      </c>
      <c r="H32" s="312"/>
      <c r="I32" s="313"/>
      <c r="J32" s="47"/>
      <c r="K32" s="24"/>
      <c r="L32" s="96" t="s">
        <v>443</v>
      </c>
      <c r="M32" s="97"/>
      <c r="N32" s="97"/>
      <c r="O32" s="97"/>
      <c r="P32" s="97"/>
      <c r="Q32" s="311">
        <v>141178.92000000001</v>
      </c>
      <c r="R32" s="312"/>
      <c r="S32" s="313"/>
    </row>
    <row r="33" spans="1:19" ht="24" customHeight="1" thickBot="1" x14ac:dyDescent="0.3">
      <c r="A33" s="19"/>
      <c r="B33" s="101" t="s">
        <v>242</v>
      </c>
      <c r="C33" s="102"/>
      <c r="D33" s="102"/>
      <c r="E33" s="102"/>
      <c r="F33" s="102"/>
      <c r="G33" s="307">
        <v>101159.17</v>
      </c>
      <c r="H33" s="308"/>
      <c r="I33" s="309"/>
      <c r="J33" s="48"/>
      <c r="K33" s="19"/>
      <c r="L33" s="101" t="s">
        <v>242</v>
      </c>
      <c r="M33" s="102"/>
      <c r="N33" s="102"/>
      <c r="O33" s="102"/>
      <c r="P33" s="102"/>
      <c r="Q33" s="307">
        <v>125043.19</v>
      </c>
      <c r="R33" s="308"/>
      <c r="S33" s="309"/>
    </row>
    <row r="34" spans="1:19" ht="24" customHeight="1" thickBot="1" x14ac:dyDescent="0.3">
      <c r="A34" s="19"/>
      <c r="B34" s="106" t="s">
        <v>444</v>
      </c>
      <c r="C34" s="107"/>
      <c r="D34" s="107"/>
      <c r="E34" s="107"/>
      <c r="F34" s="107"/>
      <c r="G34" s="307">
        <v>28420.1</v>
      </c>
      <c r="H34" s="308"/>
      <c r="I34" s="309"/>
      <c r="J34" s="49"/>
      <c r="K34" s="19"/>
      <c r="L34" s="106" t="s">
        <v>444</v>
      </c>
      <c r="M34" s="107"/>
      <c r="N34" s="107"/>
      <c r="O34" s="107"/>
      <c r="P34" s="107"/>
      <c r="Q34" s="307">
        <v>13969.91</v>
      </c>
      <c r="R34" s="308"/>
      <c r="S34" s="309"/>
    </row>
    <row r="35" spans="1:19" ht="44.25" customHeight="1" x14ac:dyDescent="0.25">
      <c r="E35" s="50"/>
      <c r="I35" s="5"/>
      <c r="L35" s="323"/>
      <c r="M35" s="323"/>
      <c r="N35" s="323"/>
      <c r="O35" s="323"/>
      <c r="P35" s="323"/>
      <c r="Q35" s="323"/>
      <c r="R35" s="323"/>
      <c r="S35" s="323"/>
    </row>
    <row r="36" spans="1:19" x14ac:dyDescent="0.25">
      <c r="A36" s="3"/>
      <c r="I36" s="5"/>
      <c r="K36" s="3"/>
      <c r="L36" s="353"/>
      <c r="M36" s="353"/>
      <c r="N36" s="353"/>
      <c r="O36" s="353"/>
      <c r="P36" s="353"/>
      <c r="Q36" s="353"/>
      <c r="R36" s="353"/>
      <c r="S36" s="353"/>
    </row>
    <row r="37" spans="1:19" ht="15.75" x14ac:dyDescent="0.25">
      <c r="A37" s="30"/>
      <c r="C37" s="30"/>
      <c r="K37" s="30"/>
      <c r="N37" s="30"/>
    </row>
    <row r="38" spans="1:19" ht="15.75" x14ac:dyDescent="0.25">
      <c r="A38" s="30"/>
      <c r="C38" s="30"/>
      <c r="K38" s="30"/>
      <c r="N38" s="30"/>
    </row>
    <row r="39" spans="1:19" x14ac:dyDescent="0.25">
      <c r="A39" s="3"/>
      <c r="B39" s="3"/>
      <c r="C39" s="3"/>
      <c r="D39" s="3"/>
      <c r="E39" s="4" t="s">
        <v>204</v>
      </c>
      <c r="F39" s="3"/>
      <c r="G39" s="3"/>
      <c r="H39" s="3"/>
      <c r="I39" s="3"/>
      <c r="K39" s="3"/>
      <c r="L39" s="3"/>
      <c r="M39" s="3"/>
      <c r="N39" s="3"/>
      <c r="O39" s="4" t="s">
        <v>204</v>
      </c>
      <c r="P39" s="3"/>
      <c r="Q39" s="3"/>
      <c r="R39" s="3"/>
      <c r="S39" s="3"/>
    </row>
    <row r="40" spans="1:19" x14ac:dyDescent="0.25">
      <c r="A40" s="3" t="s">
        <v>205</v>
      </c>
      <c r="B40" s="3"/>
      <c r="C40" s="3"/>
      <c r="D40" s="3" t="s">
        <v>419</v>
      </c>
      <c r="E40" s="3"/>
      <c r="F40" s="3"/>
      <c r="G40" s="3"/>
      <c r="H40" s="3"/>
      <c r="I40" s="3"/>
      <c r="K40" s="3" t="s">
        <v>205</v>
      </c>
      <c r="L40" s="3"/>
      <c r="M40" s="3"/>
      <c r="N40" s="3" t="s">
        <v>420</v>
      </c>
      <c r="O40" s="3"/>
      <c r="P40" s="3"/>
      <c r="Q40" s="3"/>
      <c r="R40" s="3"/>
      <c r="S40" s="3"/>
    </row>
    <row r="41" spans="1:19" x14ac:dyDescent="0.25">
      <c r="A41" s="3"/>
      <c r="B41" s="5" t="s">
        <v>440</v>
      </c>
      <c r="C41" s="3"/>
      <c r="D41" s="3"/>
      <c r="E41" s="3"/>
      <c r="F41" s="3"/>
      <c r="G41" s="3"/>
      <c r="H41" s="3"/>
      <c r="I41" s="3"/>
      <c r="J41" s="3"/>
      <c r="K41" s="3"/>
      <c r="L41" s="5" t="s">
        <v>440</v>
      </c>
      <c r="M41" s="3"/>
      <c r="N41" s="3"/>
      <c r="O41" s="3"/>
      <c r="P41" s="3"/>
      <c r="Q41" s="3"/>
      <c r="R41" s="3"/>
      <c r="S41" s="3"/>
    </row>
    <row r="42" spans="1:19" ht="15" customHeight="1" thickBot="1" x14ac:dyDescent="0.3">
      <c r="A42" s="3"/>
      <c r="B42" s="5" t="s">
        <v>206</v>
      </c>
      <c r="C42" s="3"/>
      <c r="D42" s="3"/>
      <c r="E42" s="3"/>
      <c r="F42" s="3">
        <v>600.5</v>
      </c>
      <c r="G42" s="3" t="s">
        <v>207</v>
      </c>
      <c r="H42" s="3"/>
      <c r="I42" s="3"/>
      <c r="J42" s="3"/>
      <c r="K42" s="3"/>
      <c r="L42" s="5" t="s">
        <v>206</v>
      </c>
      <c r="M42" s="3"/>
      <c r="N42" s="3"/>
      <c r="O42" s="3"/>
      <c r="P42" s="3">
        <v>2935</v>
      </c>
      <c r="Q42" s="3" t="s">
        <v>207</v>
      </c>
      <c r="R42" s="3"/>
      <c r="S42" s="3"/>
    </row>
    <row r="43" spans="1:19" ht="69" customHeight="1" x14ac:dyDescent="0.25">
      <c r="A43" s="175" t="s">
        <v>209</v>
      </c>
      <c r="B43" s="177" t="s">
        <v>210</v>
      </c>
      <c r="C43" s="178"/>
      <c r="D43" s="178"/>
      <c r="E43" s="178"/>
      <c r="F43" s="178"/>
      <c r="G43" s="180" t="s">
        <v>442</v>
      </c>
      <c r="H43" s="181"/>
      <c r="I43" s="175" t="s">
        <v>212</v>
      </c>
      <c r="J43" s="51"/>
      <c r="K43" s="175" t="s">
        <v>209</v>
      </c>
      <c r="L43" s="177" t="s">
        <v>210</v>
      </c>
      <c r="M43" s="178"/>
      <c r="N43" s="178"/>
      <c r="O43" s="178"/>
      <c r="P43" s="178"/>
      <c r="Q43" s="180" t="s">
        <v>442</v>
      </c>
      <c r="R43" s="181"/>
      <c r="S43" s="175" t="s">
        <v>212</v>
      </c>
    </row>
    <row r="44" spans="1:19" ht="15" customHeight="1" thickBot="1" x14ac:dyDescent="0.3">
      <c r="A44" s="176"/>
      <c r="B44" s="179"/>
      <c r="C44" s="179"/>
      <c r="D44" s="179"/>
      <c r="E44" s="179"/>
      <c r="F44" s="179"/>
      <c r="G44" s="182"/>
      <c r="H44" s="183"/>
      <c r="I44" s="184"/>
      <c r="J44" s="52"/>
      <c r="K44" s="176"/>
      <c r="L44" s="179"/>
      <c r="M44" s="179"/>
      <c r="N44" s="179"/>
      <c r="O44" s="179"/>
      <c r="P44" s="179"/>
      <c r="Q44" s="182"/>
      <c r="R44" s="183"/>
      <c r="S44" s="184"/>
    </row>
    <row r="45" spans="1:19" ht="7.5" customHeight="1" x14ac:dyDescent="0.25">
      <c r="A45" s="185" t="s">
        <v>213</v>
      </c>
      <c r="B45" s="187" t="s">
        <v>354</v>
      </c>
      <c r="C45" s="188"/>
      <c r="D45" s="188"/>
      <c r="E45" s="188"/>
      <c r="F45" s="188"/>
      <c r="G45" s="190">
        <v>1161.54</v>
      </c>
      <c r="H45" s="191"/>
      <c r="I45" s="192"/>
      <c r="J45" s="53"/>
      <c r="K45" s="185" t="s">
        <v>213</v>
      </c>
      <c r="L45" s="187" t="s">
        <v>354</v>
      </c>
      <c r="M45" s="188"/>
      <c r="N45" s="188"/>
      <c r="O45" s="188"/>
      <c r="P45" s="188"/>
      <c r="Q45" s="190">
        <v>23003.8</v>
      </c>
      <c r="R45" s="191"/>
      <c r="S45" s="192"/>
    </row>
    <row r="46" spans="1:19" ht="17.25" customHeight="1" thickBot="1" x14ac:dyDescent="0.3">
      <c r="A46" s="186"/>
      <c r="B46" s="189"/>
      <c r="C46" s="189"/>
      <c r="D46" s="189"/>
      <c r="E46" s="189"/>
      <c r="F46" s="189"/>
      <c r="G46" s="193"/>
      <c r="H46" s="194"/>
      <c r="I46" s="128"/>
      <c r="J46" s="54"/>
      <c r="K46" s="186"/>
      <c r="L46" s="189"/>
      <c r="M46" s="189"/>
      <c r="N46" s="189"/>
      <c r="O46" s="189"/>
      <c r="P46" s="189"/>
      <c r="Q46" s="193"/>
      <c r="R46" s="194"/>
      <c r="S46" s="128"/>
    </row>
    <row r="47" spans="1:19" ht="13.5" customHeight="1" x14ac:dyDescent="0.25">
      <c r="A47" s="6"/>
      <c r="B47" s="161" t="s">
        <v>214</v>
      </c>
      <c r="C47" s="162"/>
      <c r="D47" s="162"/>
      <c r="E47" s="162"/>
      <c r="F47" s="162"/>
      <c r="G47" s="163">
        <f>1.29*12*F42</f>
        <v>9295.74</v>
      </c>
      <c r="H47" s="164"/>
      <c r="I47" s="169" t="s">
        <v>215</v>
      </c>
      <c r="J47" s="42"/>
      <c r="K47" s="6"/>
      <c r="L47" s="161" t="s">
        <v>214</v>
      </c>
      <c r="M47" s="162"/>
      <c r="N47" s="162"/>
      <c r="O47" s="162"/>
      <c r="P47" s="162"/>
      <c r="Q47" s="163">
        <f>1.09*12*P42</f>
        <v>38389.800000000003</v>
      </c>
      <c r="R47" s="164"/>
      <c r="S47" s="169" t="s">
        <v>215</v>
      </c>
    </row>
    <row r="48" spans="1:19" ht="29.25" customHeight="1" thickBot="1" x14ac:dyDescent="0.3">
      <c r="A48" s="7"/>
      <c r="B48" s="171" t="s">
        <v>216</v>
      </c>
      <c r="C48" s="172"/>
      <c r="D48" s="172"/>
      <c r="E48" s="172"/>
      <c r="F48" s="172"/>
      <c r="G48" s="165"/>
      <c r="H48" s="166"/>
      <c r="I48" s="170"/>
      <c r="J48" s="43"/>
      <c r="K48" s="7"/>
      <c r="L48" s="171" t="s">
        <v>216</v>
      </c>
      <c r="M48" s="172"/>
      <c r="N48" s="172"/>
      <c r="O48" s="172"/>
      <c r="P48" s="172"/>
      <c r="Q48" s="165"/>
      <c r="R48" s="166"/>
      <c r="S48" s="170"/>
    </row>
    <row r="49" spans="1:19" ht="13.5" customHeight="1" thickBot="1" x14ac:dyDescent="0.3">
      <c r="A49" s="7"/>
      <c r="B49" s="173" t="s">
        <v>217</v>
      </c>
      <c r="C49" s="174"/>
      <c r="D49" s="174"/>
      <c r="E49" s="174"/>
      <c r="F49" s="174"/>
      <c r="G49" s="167"/>
      <c r="H49" s="168"/>
      <c r="I49" s="8" t="s">
        <v>218</v>
      </c>
      <c r="J49" s="43"/>
      <c r="K49" s="7"/>
      <c r="L49" s="173" t="s">
        <v>217</v>
      </c>
      <c r="M49" s="174"/>
      <c r="N49" s="174"/>
      <c r="O49" s="174"/>
      <c r="P49" s="174"/>
      <c r="Q49" s="167"/>
      <c r="R49" s="168"/>
      <c r="S49" s="8" t="s">
        <v>218</v>
      </c>
    </row>
    <row r="50" spans="1:19" ht="13.5" customHeight="1" thickBot="1" x14ac:dyDescent="0.3">
      <c r="A50" s="7"/>
      <c r="B50" s="141" t="s">
        <v>219</v>
      </c>
      <c r="C50" s="142"/>
      <c r="D50" s="142"/>
      <c r="E50" s="142"/>
      <c r="F50" s="142"/>
      <c r="G50" s="143">
        <v>0</v>
      </c>
      <c r="H50" s="144"/>
      <c r="I50" s="8" t="s">
        <v>220</v>
      </c>
      <c r="J50" s="55"/>
      <c r="K50" s="7"/>
      <c r="L50" s="141" t="s">
        <v>219</v>
      </c>
      <c r="M50" s="142"/>
      <c r="N50" s="142"/>
      <c r="O50" s="142"/>
      <c r="P50" s="142"/>
      <c r="Q50" s="143">
        <v>0</v>
      </c>
      <c r="R50" s="144"/>
      <c r="S50" s="8" t="s">
        <v>220</v>
      </c>
    </row>
    <row r="51" spans="1:19" ht="13.5" customHeight="1" thickBot="1" x14ac:dyDescent="0.3">
      <c r="A51" s="7"/>
      <c r="B51" s="141" t="s">
        <v>221</v>
      </c>
      <c r="C51" s="142"/>
      <c r="D51" s="142"/>
      <c r="E51" s="142"/>
      <c r="F51" s="142"/>
      <c r="G51" s="143">
        <f>0.25*12*F42</f>
        <v>1801.5</v>
      </c>
      <c r="H51" s="144"/>
      <c r="I51" s="8" t="s">
        <v>222</v>
      </c>
      <c r="J51" s="56"/>
      <c r="K51" s="7"/>
      <c r="L51" s="141" t="s">
        <v>221</v>
      </c>
      <c r="M51" s="142"/>
      <c r="N51" s="142"/>
      <c r="O51" s="142"/>
      <c r="P51" s="142"/>
      <c r="Q51" s="143">
        <f>0.3*12*P42</f>
        <v>10565.999999999998</v>
      </c>
      <c r="R51" s="144"/>
      <c r="S51" s="8" t="s">
        <v>222</v>
      </c>
    </row>
    <row r="52" spans="1:19" ht="13.5" customHeight="1" x14ac:dyDescent="0.25">
      <c r="A52" s="9"/>
      <c r="B52" s="145" t="s">
        <v>223</v>
      </c>
      <c r="C52" s="146"/>
      <c r="D52" s="146"/>
      <c r="E52" s="146"/>
      <c r="F52" s="146"/>
      <c r="G52" s="86">
        <f>1.73*12*F42</f>
        <v>12466.38</v>
      </c>
      <c r="H52" s="147"/>
      <c r="I52" s="152" t="s">
        <v>224</v>
      </c>
      <c r="J52" s="56"/>
      <c r="K52" s="9"/>
      <c r="L52" s="145" t="s">
        <v>223</v>
      </c>
      <c r="M52" s="146"/>
      <c r="N52" s="146"/>
      <c r="O52" s="146"/>
      <c r="P52" s="146"/>
      <c r="Q52" s="86">
        <f>1.19*12*P42</f>
        <v>41911.799999999996</v>
      </c>
      <c r="R52" s="147"/>
      <c r="S52" s="152" t="s">
        <v>224</v>
      </c>
    </row>
    <row r="53" spans="1:19" ht="13.5" customHeight="1" x14ac:dyDescent="0.25">
      <c r="A53" s="10"/>
      <c r="B53" s="155" t="s">
        <v>226</v>
      </c>
      <c r="C53" s="156"/>
      <c r="D53" s="156"/>
      <c r="E53" s="156"/>
      <c r="F53" s="156"/>
      <c r="G53" s="148"/>
      <c r="H53" s="149"/>
      <c r="I53" s="153"/>
      <c r="J53" s="57"/>
      <c r="K53" s="10"/>
      <c r="L53" s="155" t="s">
        <v>226</v>
      </c>
      <c r="M53" s="156"/>
      <c r="N53" s="156"/>
      <c r="O53" s="156"/>
      <c r="P53" s="156"/>
      <c r="Q53" s="148"/>
      <c r="R53" s="149"/>
      <c r="S53" s="153"/>
    </row>
    <row r="54" spans="1:19" ht="13.5" customHeight="1" thickBot="1" x14ac:dyDescent="0.3">
      <c r="A54" s="10"/>
      <c r="B54" s="157" t="s">
        <v>227</v>
      </c>
      <c r="C54" s="158"/>
      <c r="D54" s="158"/>
      <c r="E54" s="158"/>
      <c r="F54" s="158"/>
      <c r="G54" s="148"/>
      <c r="H54" s="149"/>
      <c r="I54" s="154"/>
      <c r="J54" s="43"/>
      <c r="K54" s="10"/>
      <c r="L54" s="157" t="s">
        <v>227</v>
      </c>
      <c r="M54" s="158"/>
      <c r="N54" s="158"/>
      <c r="O54" s="158"/>
      <c r="P54" s="158"/>
      <c r="Q54" s="148"/>
      <c r="R54" s="149"/>
      <c r="S54" s="154"/>
    </row>
    <row r="55" spans="1:19" ht="13.5" customHeight="1" thickBot="1" x14ac:dyDescent="0.3">
      <c r="A55" s="10"/>
      <c r="B55" s="159" t="s">
        <v>228</v>
      </c>
      <c r="C55" s="160"/>
      <c r="D55" s="160"/>
      <c r="E55" s="160"/>
      <c r="F55" s="160"/>
      <c r="G55" s="150"/>
      <c r="H55" s="151"/>
      <c r="I55" s="11" t="s">
        <v>229</v>
      </c>
      <c r="J55" s="43"/>
      <c r="K55" s="10"/>
      <c r="L55" s="159" t="s">
        <v>228</v>
      </c>
      <c r="M55" s="160"/>
      <c r="N55" s="160"/>
      <c r="O55" s="160"/>
      <c r="P55" s="160"/>
      <c r="Q55" s="150"/>
      <c r="R55" s="151"/>
      <c r="S55" s="11" t="s">
        <v>229</v>
      </c>
    </row>
    <row r="56" spans="1:19" ht="13.5" customHeight="1" x14ac:dyDescent="0.25">
      <c r="A56" s="12"/>
      <c r="B56" s="125" t="s">
        <v>230</v>
      </c>
      <c r="C56" s="126"/>
      <c r="D56" s="126"/>
      <c r="E56" s="126"/>
      <c r="F56" s="126"/>
      <c r="G56" s="86"/>
      <c r="H56" s="87"/>
      <c r="I56" s="129" t="s">
        <v>220</v>
      </c>
      <c r="J56" s="43"/>
      <c r="K56" s="12"/>
      <c r="L56" s="125" t="s">
        <v>230</v>
      </c>
      <c r="M56" s="126"/>
      <c r="N56" s="126"/>
      <c r="O56" s="126"/>
      <c r="P56" s="126"/>
      <c r="Q56" s="86">
        <f>0.048*12*P42</f>
        <v>1690.5600000000002</v>
      </c>
      <c r="R56" s="87"/>
      <c r="S56" s="129" t="s">
        <v>220</v>
      </c>
    </row>
    <row r="57" spans="1:19" ht="15.75" customHeight="1" thickBot="1" x14ac:dyDescent="0.3">
      <c r="A57" s="7"/>
      <c r="B57" s="131" t="s">
        <v>231</v>
      </c>
      <c r="C57" s="132"/>
      <c r="D57" s="132"/>
      <c r="E57" s="132"/>
      <c r="F57" s="132"/>
      <c r="G57" s="127"/>
      <c r="H57" s="128"/>
      <c r="I57" s="130"/>
      <c r="J57" s="43"/>
      <c r="K57" s="7"/>
      <c r="L57" s="131" t="s">
        <v>231</v>
      </c>
      <c r="M57" s="132"/>
      <c r="N57" s="132"/>
      <c r="O57" s="132"/>
      <c r="P57" s="132"/>
      <c r="Q57" s="127"/>
      <c r="R57" s="128"/>
      <c r="S57" s="130"/>
    </row>
    <row r="58" spans="1:19" ht="15.75" customHeight="1" thickBot="1" x14ac:dyDescent="0.3">
      <c r="A58" s="13"/>
      <c r="B58" s="133" t="s">
        <v>232</v>
      </c>
      <c r="C58" s="134"/>
      <c r="D58" s="134"/>
      <c r="E58" s="134"/>
      <c r="F58" s="134"/>
      <c r="G58" s="135"/>
      <c r="H58" s="136"/>
      <c r="I58" s="14"/>
      <c r="J58" s="58"/>
      <c r="K58" s="13"/>
      <c r="L58" s="133" t="s">
        <v>232</v>
      </c>
      <c r="M58" s="134"/>
      <c r="N58" s="134"/>
      <c r="O58" s="134"/>
      <c r="P58" s="134"/>
      <c r="Q58" s="135"/>
      <c r="R58" s="136"/>
      <c r="S58" s="14"/>
    </row>
    <row r="59" spans="1:19" ht="15.75" customHeight="1" thickBot="1" x14ac:dyDescent="0.3">
      <c r="A59" s="13"/>
      <c r="B59" s="84" t="s">
        <v>233</v>
      </c>
      <c r="C59" s="85"/>
      <c r="D59" s="85"/>
      <c r="E59" s="85"/>
      <c r="F59" s="85"/>
      <c r="G59" s="86">
        <f>1.27*12*F42</f>
        <v>9151.6200000000008</v>
      </c>
      <c r="H59" s="87"/>
      <c r="I59" s="92" t="s">
        <v>660</v>
      </c>
      <c r="J59" s="41"/>
      <c r="K59" s="13"/>
      <c r="L59" s="84" t="s">
        <v>233</v>
      </c>
      <c r="M59" s="85"/>
      <c r="N59" s="85"/>
      <c r="O59" s="85"/>
      <c r="P59" s="85"/>
      <c r="Q59" s="86">
        <f>0.9*12*P42</f>
        <v>31698.000000000004</v>
      </c>
      <c r="R59" s="87"/>
      <c r="S59" s="92" t="s">
        <v>662</v>
      </c>
    </row>
    <row r="60" spans="1:19" ht="23.25" customHeight="1" x14ac:dyDescent="0.25">
      <c r="A60" s="118"/>
      <c r="B60" s="121" t="s">
        <v>226</v>
      </c>
      <c r="C60" s="122"/>
      <c r="D60" s="122"/>
      <c r="E60" s="122"/>
      <c r="F60" s="122"/>
      <c r="G60" s="88"/>
      <c r="H60" s="89"/>
      <c r="I60" s="93"/>
      <c r="J60" s="41"/>
      <c r="K60" s="118"/>
      <c r="L60" s="121" t="s">
        <v>226</v>
      </c>
      <c r="M60" s="122"/>
      <c r="N60" s="122"/>
      <c r="O60" s="122"/>
      <c r="P60" s="122"/>
      <c r="Q60" s="88"/>
      <c r="R60" s="89"/>
      <c r="S60" s="93"/>
    </row>
    <row r="61" spans="1:19" ht="23.25" customHeight="1" x14ac:dyDescent="0.25">
      <c r="A61" s="119"/>
      <c r="B61" s="121" t="s">
        <v>227</v>
      </c>
      <c r="C61" s="122"/>
      <c r="D61" s="122"/>
      <c r="E61" s="122"/>
      <c r="F61" s="122"/>
      <c r="G61" s="88"/>
      <c r="H61" s="89"/>
      <c r="I61" s="93"/>
      <c r="J61" s="42"/>
      <c r="K61" s="119"/>
      <c r="L61" s="121" t="s">
        <v>227</v>
      </c>
      <c r="M61" s="122"/>
      <c r="N61" s="122"/>
      <c r="O61" s="122"/>
      <c r="P61" s="122"/>
      <c r="Q61" s="88"/>
      <c r="R61" s="89"/>
      <c r="S61" s="93"/>
    </row>
    <row r="62" spans="1:19" ht="36.75" customHeight="1" x14ac:dyDescent="0.25">
      <c r="A62" s="119"/>
      <c r="B62" s="121" t="s">
        <v>228</v>
      </c>
      <c r="C62" s="122"/>
      <c r="D62" s="122"/>
      <c r="E62" s="122"/>
      <c r="F62" s="122"/>
      <c r="G62" s="88"/>
      <c r="H62" s="89"/>
      <c r="I62" s="93"/>
      <c r="J62" s="43"/>
      <c r="K62" s="119"/>
      <c r="L62" s="121" t="s">
        <v>228</v>
      </c>
      <c r="M62" s="122"/>
      <c r="N62" s="122"/>
      <c r="O62" s="122"/>
      <c r="P62" s="122"/>
      <c r="Q62" s="88"/>
      <c r="R62" s="89"/>
      <c r="S62" s="93"/>
    </row>
    <row r="63" spans="1:19" ht="54.75" customHeight="1" thickBot="1" x14ac:dyDescent="0.3">
      <c r="A63" s="120"/>
      <c r="B63" s="123" t="s">
        <v>234</v>
      </c>
      <c r="C63" s="124"/>
      <c r="D63" s="124"/>
      <c r="E63" s="124"/>
      <c r="F63" s="124"/>
      <c r="G63" s="90"/>
      <c r="H63" s="91"/>
      <c r="I63" s="94"/>
      <c r="J63" s="59"/>
      <c r="K63" s="120"/>
      <c r="L63" s="123" t="s">
        <v>234</v>
      </c>
      <c r="M63" s="124"/>
      <c r="N63" s="124"/>
      <c r="O63" s="124"/>
      <c r="P63" s="124"/>
      <c r="Q63" s="90"/>
      <c r="R63" s="91"/>
      <c r="S63" s="94"/>
    </row>
    <row r="64" spans="1:19" ht="0.75" customHeight="1" thickBot="1" x14ac:dyDescent="0.3">
      <c r="A64" s="15"/>
      <c r="B64" s="137" t="s">
        <v>248</v>
      </c>
      <c r="C64" s="138"/>
      <c r="D64" s="138"/>
      <c r="E64" s="138"/>
      <c r="F64" s="138"/>
      <c r="G64" s="139"/>
      <c r="H64" s="140"/>
      <c r="I64" s="16"/>
      <c r="J64" s="58"/>
      <c r="K64" s="15"/>
      <c r="L64" s="137" t="s">
        <v>248</v>
      </c>
      <c r="M64" s="138"/>
      <c r="N64" s="138"/>
      <c r="O64" s="138"/>
      <c r="P64" s="138"/>
      <c r="Q64" s="139"/>
      <c r="R64" s="140"/>
      <c r="S64" s="16"/>
    </row>
    <row r="65" spans="1:19" ht="0.75" customHeight="1" thickBot="1" x14ac:dyDescent="0.3">
      <c r="A65" s="15"/>
      <c r="B65" s="137" t="s">
        <v>235</v>
      </c>
      <c r="C65" s="138"/>
      <c r="D65" s="138"/>
      <c r="E65" s="138"/>
      <c r="F65" s="138"/>
      <c r="G65" s="139"/>
      <c r="H65" s="140"/>
      <c r="I65" s="16"/>
      <c r="J65" s="45"/>
      <c r="K65" s="15"/>
      <c r="L65" s="137" t="s">
        <v>235</v>
      </c>
      <c r="M65" s="138"/>
      <c r="N65" s="138"/>
      <c r="O65" s="138"/>
      <c r="P65" s="138"/>
      <c r="Q65" s="139"/>
      <c r="R65" s="140"/>
      <c r="S65" s="16"/>
    </row>
    <row r="66" spans="1:19" ht="36.75" customHeight="1" thickBot="1" x14ac:dyDescent="0.3">
      <c r="A66" s="17"/>
      <c r="B66" s="78" t="s">
        <v>237</v>
      </c>
      <c r="C66" s="79"/>
      <c r="D66" s="79"/>
      <c r="E66" s="79"/>
      <c r="F66" s="79"/>
      <c r="G66" s="86">
        <v>720</v>
      </c>
      <c r="H66" s="87"/>
      <c r="I66" s="108" t="s">
        <v>229</v>
      </c>
      <c r="J66" s="41"/>
      <c r="K66" s="17"/>
      <c r="L66" s="78" t="s">
        <v>237</v>
      </c>
      <c r="M66" s="79"/>
      <c r="N66" s="79"/>
      <c r="O66" s="79"/>
      <c r="P66" s="79"/>
      <c r="Q66" s="86">
        <v>53030</v>
      </c>
      <c r="R66" s="87"/>
      <c r="S66" s="108" t="s">
        <v>229</v>
      </c>
    </row>
    <row r="67" spans="1:19" ht="15.75" customHeight="1" thickBot="1" x14ac:dyDescent="0.3">
      <c r="A67" s="18"/>
      <c r="B67" s="110" t="s">
        <v>238</v>
      </c>
      <c r="C67" s="111"/>
      <c r="D67" s="111"/>
      <c r="E67" s="111"/>
      <c r="F67" s="111"/>
      <c r="G67" s="90"/>
      <c r="H67" s="91"/>
      <c r="I67" s="109"/>
      <c r="J67" s="41"/>
      <c r="K67" s="18"/>
      <c r="L67" s="110" t="s">
        <v>238</v>
      </c>
      <c r="M67" s="111"/>
      <c r="N67" s="111"/>
      <c r="O67" s="111"/>
      <c r="P67" s="111"/>
      <c r="Q67" s="90"/>
      <c r="R67" s="91"/>
      <c r="S67" s="109"/>
    </row>
    <row r="68" spans="1:19" ht="15.75" customHeight="1" thickBot="1" x14ac:dyDescent="0.3">
      <c r="A68" s="19"/>
      <c r="B68" s="112" t="s">
        <v>239</v>
      </c>
      <c r="C68" s="113"/>
      <c r="D68" s="113"/>
      <c r="E68" s="113"/>
      <c r="F68" s="113"/>
      <c r="G68" s="114">
        <f>SUM(G47:H67)</f>
        <v>33435.24</v>
      </c>
      <c r="H68" s="115"/>
      <c r="I68" s="20"/>
      <c r="J68" s="60"/>
      <c r="K68" s="19"/>
      <c r="L68" s="112" t="s">
        <v>239</v>
      </c>
      <c r="M68" s="113"/>
      <c r="N68" s="113"/>
      <c r="O68" s="113"/>
      <c r="P68" s="113"/>
      <c r="Q68" s="114">
        <f>SUM(Q47:R67)</f>
        <v>177286.16</v>
      </c>
      <c r="R68" s="115"/>
      <c r="S68" s="20"/>
    </row>
    <row r="69" spans="1:19" ht="24.75" customHeight="1" thickBot="1" x14ac:dyDescent="0.3">
      <c r="A69" s="21"/>
      <c r="B69" s="101" t="s">
        <v>240</v>
      </c>
      <c r="C69" s="102"/>
      <c r="D69" s="102"/>
      <c r="E69" s="102"/>
      <c r="F69" s="102"/>
      <c r="G69" s="116">
        <f>G68*1.2</f>
        <v>40122.287999999993</v>
      </c>
      <c r="H69" s="117"/>
      <c r="I69" s="22"/>
      <c r="J69" s="60"/>
      <c r="K69" s="21"/>
      <c r="L69" s="101" t="s">
        <v>240</v>
      </c>
      <c r="M69" s="102"/>
      <c r="N69" s="102"/>
      <c r="O69" s="102"/>
      <c r="P69" s="102"/>
      <c r="Q69" s="116">
        <f>Q68*1.2</f>
        <v>212743.39199999999</v>
      </c>
      <c r="R69" s="117"/>
      <c r="S69" s="22"/>
    </row>
    <row r="70" spans="1:19" ht="24.75" customHeight="1" thickBot="1" x14ac:dyDescent="0.3">
      <c r="A70" s="24"/>
      <c r="B70" s="96" t="s">
        <v>443</v>
      </c>
      <c r="C70" s="97"/>
      <c r="D70" s="97"/>
      <c r="E70" s="97"/>
      <c r="F70" s="97"/>
      <c r="G70" s="311">
        <v>39724.83</v>
      </c>
      <c r="H70" s="312"/>
      <c r="I70" s="313"/>
      <c r="J70" s="60"/>
      <c r="K70" s="24"/>
      <c r="L70" s="96" t="s">
        <v>443</v>
      </c>
      <c r="M70" s="97"/>
      <c r="N70" s="97"/>
      <c r="O70" s="97"/>
      <c r="P70" s="97"/>
      <c r="Q70" s="311">
        <v>213414.33</v>
      </c>
      <c r="R70" s="312"/>
      <c r="S70" s="313"/>
    </row>
    <row r="71" spans="1:19" ht="24.75" customHeight="1" thickBot="1" x14ac:dyDescent="0.3">
      <c r="A71" s="19"/>
      <c r="B71" s="101" t="s">
        <v>242</v>
      </c>
      <c r="C71" s="102"/>
      <c r="D71" s="102"/>
      <c r="E71" s="102"/>
      <c r="F71" s="102"/>
      <c r="G71" s="307">
        <v>40690.29</v>
      </c>
      <c r="H71" s="308"/>
      <c r="I71" s="309"/>
      <c r="K71" s="19"/>
      <c r="L71" s="101" t="s">
        <v>242</v>
      </c>
      <c r="M71" s="102"/>
      <c r="N71" s="102"/>
      <c r="O71" s="102"/>
      <c r="P71" s="102"/>
      <c r="Q71" s="307">
        <v>204813.88</v>
      </c>
      <c r="R71" s="308"/>
      <c r="S71" s="309"/>
    </row>
    <row r="72" spans="1:19" ht="24.75" customHeight="1" thickBot="1" x14ac:dyDescent="0.3">
      <c r="A72" s="19"/>
      <c r="B72" s="106" t="s">
        <v>444</v>
      </c>
      <c r="C72" s="107"/>
      <c r="D72" s="107"/>
      <c r="E72" s="107"/>
      <c r="F72" s="107"/>
      <c r="G72" s="307">
        <v>196.08</v>
      </c>
      <c r="H72" s="308"/>
      <c r="I72" s="309"/>
      <c r="J72" s="61"/>
      <c r="K72" s="19"/>
      <c r="L72" s="106" t="s">
        <v>444</v>
      </c>
      <c r="M72" s="107"/>
      <c r="N72" s="107"/>
      <c r="O72" s="107"/>
      <c r="P72" s="107"/>
      <c r="Q72" s="307">
        <v>31604.25</v>
      </c>
      <c r="R72" s="308"/>
      <c r="S72" s="309"/>
    </row>
    <row r="73" spans="1:19" ht="30" customHeight="1" x14ac:dyDescent="0.25">
      <c r="E73" s="50"/>
      <c r="I73" s="5"/>
      <c r="L73" s="323" t="s">
        <v>661</v>
      </c>
      <c r="M73" s="323"/>
      <c r="N73" s="323"/>
      <c r="O73" s="323"/>
      <c r="P73" s="323"/>
      <c r="Q73" s="323"/>
      <c r="R73" s="323"/>
      <c r="S73" s="323"/>
    </row>
    <row r="74" spans="1:19" x14ac:dyDescent="0.25">
      <c r="A74" s="3"/>
      <c r="I74" s="5"/>
      <c r="K74" s="3"/>
      <c r="S74" s="5"/>
    </row>
    <row r="75" spans="1:19" ht="15.75" x14ac:dyDescent="0.25">
      <c r="C75" s="30"/>
      <c r="K75" s="30"/>
      <c r="N75" s="30"/>
    </row>
    <row r="76" spans="1:19" ht="15.75" x14ac:dyDescent="0.25">
      <c r="A76" s="30"/>
      <c r="C76" s="30"/>
      <c r="K76" s="30"/>
      <c r="N76" s="30"/>
    </row>
    <row r="77" spans="1:19" ht="15.75" x14ac:dyDescent="0.25">
      <c r="A77" s="30"/>
      <c r="C77" s="30"/>
      <c r="K77" s="30"/>
      <c r="N77" s="30"/>
    </row>
    <row r="78" spans="1:19" x14ac:dyDescent="0.25">
      <c r="A78" s="3"/>
      <c r="B78" s="3"/>
      <c r="C78" s="3"/>
      <c r="D78" s="3"/>
      <c r="E78" s="4" t="s">
        <v>204</v>
      </c>
      <c r="F78" s="3"/>
      <c r="G78" s="3"/>
      <c r="H78" s="3"/>
      <c r="I78" s="3"/>
      <c r="K78" s="3"/>
      <c r="L78" s="3"/>
      <c r="M78" s="3"/>
      <c r="N78" s="3"/>
      <c r="O78" s="4" t="s">
        <v>204</v>
      </c>
      <c r="P78" s="3"/>
      <c r="Q78" s="3"/>
      <c r="R78" s="3"/>
      <c r="S78" s="3"/>
    </row>
    <row r="79" spans="1:19" x14ac:dyDescent="0.25">
      <c r="A79" s="3" t="s">
        <v>205</v>
      </c>
      <c r="B79" s="3"/>
      <c r="C79" s="3"/>
      <c r="D79" s="3" t="s">
        <v>421</v>
      </c>
      <c r="E79" s="3"/>
      <c r="F79" s="3"/>
      <c r="G79" s="3"/>
      <c r="H79" s="3"/>
      <c r="I79" s="3"/>
      <c r="K79" s="3" t="s">
        <v>205</v>
      </c>
      <c r="L79" s="3"/>
      <c r="M79" s="3"/>
      <c r="N79" s="3" t="s">
        <v>422</v>
      </c>
      <c r="O79" s="3"/>
      <c r="P79" s="3"/>
      <c r="Q79" s="3"/>
      <c r="R79" s="3"/>
      <c r="S79" s="3"/>
    </row>
    <row r="80" spans="1:19" x14ac:dyDescent="0.25">
      <c r="A80" s="3"/>
      <c r="B80" s="5" t="s">
        <v>440</v>
      </c>
      <c r="C80" s="3"/>
      <c r="D80" s="3"/>
      <c r="E80" s="3"/>
      <c r="F80" s="3"/>
      <c r="G80" s="3"/>
      <c r="H80" s="3"/>
      <c r="I80" s="3"/>
      <c r="J80" s="3"/>
      <c r="K80" s="3"/>
      <c r="L80" s="5" t="s">
        <v>440</v>
      </c>
      <c r="M80" s="3"/>
      <c r="N80" s="3"/>
      <c r="O80" s="3"/>
      <c r="P80" s="3"/>
      <c r="Q80" s="3"/>
      <c r="R80" s="3"/>
      <c r="S80" s="3"/>
    </row>
    <row r="81" spans="1:19" ht="15" customHeight="1" thickBot="1" x14ac:dyDescent="0.3">
      <c r="A81" s="3"/>
      <c r="B81" s="5" t="s">
        <v>206</v>
      </c>
      <c r="C81" s="3"/>
      <c r="D81" s="3"/>
      <c r="E81" s="3"/>
      <c r="F81" s="3">
        <v>1191.0999999999999</v>
      </c>
      <c r="G81" s="3" t="s">
        <v>207</v>
      </c>
      <c r="H81" s="3"/>
      <c r="I81" s="3"/>
      <c r="J81" s="3"/>
      <c r="K81" s="3"/>
      <c r="L81" s="5" t="s">
        <v>206</v>
      </c>
      <c r="M81" s="3"/>
      <c r="N81" s="3"/>
      <c r="O81" s="3"/>
      <c r="P81" s="3">
        <v>1266</v>
      </c>
      <c r="Q81" s="3" t="s">
        <v>207</v>
      </c>
      <c r="R81" s="3"/>
      <c r="S81" s="3"/>
    </row>
    <row r="82" spans="1:19" ht="75" customHeight="1" x14ac:dyDescent="0.25">
      <c r="A82" s="175" t="s">
        <v>209</v>
      </c>
      <c r="B82" s="177" t="s">
        <v>210</v>
      </c>
      <c r="C82" s="178"/>
      <c r="D82" s="178"/>
      <c r="E82" s="178"/>
      <c r="F82" s="178"/>
      <c r="G82" s="180" t="s">
        <v>442</v>
      </c>
      <c r="H82" s="181"/>
      <c r="I82" s="175" t="s">
        <v>212</v>
      </c>
      <c r="J82" s="31"/>
      <c r="K82" s="175" t="s">
        <v>209</v>
      </c>
      <c r="L82" s="177" t="s">
        <v>210</v>
      </c>
      <c r="M82" s="178"/>
      <c r="N82" s="178"/>
      <c r="O82" s="178"/>
      <c r="P82" s="178"/>
      <c r="Q82" s="180" t="s">
        <v>442</v>
      </c>
      <c r="R82" s="181"/>
      <c r="S82" s="175" t="s">
        <v>212</v>
      </c>
    </row>
    <row r="83" spans="1:19" ht="15" customHeight="1" thickBot="1" x14ac:dyDescent="0.3">
      <c r="A83" s="176"/>
      <c r="B83" s="179"/>
      <c r="C83" s="179"/>
      <c r="D83" s="179"/>
      <c r="E83" s="179"/>
      <c r="F83" s="179"/>
      <c r="G83" s="182"/>
      <c r="H83" s="183"/>
      <c r="I83" s="184"/>
      <c r="J83" s="32"/>
      <c r="K83" s="176"/>
      <c r="L83" s="179"/>
      <c r="M83" s="179"/>
      <c r="N83" s="179"/>
      <c r="O83" s="179"/>
      <c r="P83" s="179"/>
      <c r="Q83" s="182"/>
      <c r="R83" s="183"/>
      <c r="S83" s="184"/>
    </row>
    <row r="84" spans="1:19" ht="5.25" customHeight="1" x14ac:dyDescent="0.25">
      <c r="A84" s="185" t="s">
        <v>213</v>
      </c>
      <c r="B84" s="187" t="s">
        <v>354</v>
      </c>
      <c r="C84" s="188"/>
      <c r="D84" s="188"/>
      <c r="E84" s="188"/>
      <c r="F84" s="188"/>
      <c r="G84" s="190">
        <v>23915.66</v>
      </c>
      <c r="H84" s="191"/>
      <c r="I84" s="192"/>
      <c r="J84" s="33"/>
      <c r="K84" s="185" t="s">
        <v>213</v>
      </c>
      <c r="L84" s="187" t="s">
        <v>354</v>
      </c>
      <c r="M84" s="188"/>
      <c r="N84" s="188"/>
      <c r="O84" s="188"/>
      <c r="P84" s="188"/>
      <c r="Q84" s="190">
        <v>27003.9</v>
      </c>
      <c r="R84" s="191"/>
      <c r="S84" s="192"/>
    </row>
    <row r="85" spans="1:19" ht="15" customHeight="1" thickBot="1" x14ac:dyDescent="0.3">
      <c r="A85" s="186"/>
      <c r="B85" s="189"/>
      <c r="C85" s="189"/>
      <c r="D85" s="189"/>
      <c r="E85" s="189"/>
      <c r="F85" s="189"/>
      <c r="G85" s="193"/>
      <c r="H85" s="194"/>
      <c r="I85" s="128"/>
      <c r="J85" s="34"/>
      <c r="K85" s="186"/>
      <c r="L85" s="189"/>
      <c r="M85" s="189"/>
      <c r="N85" s="189"/>
      <c r="O85" s="189"/>
      <c r="P85" s="189"/>
      <c r="Q85" s="193"/>
      <c r="R85" s="194"/>
      <c r="S85" s="128"/>
    </row>
    <row r="86" spans="1:19" ht="13.5" customHeight="1" x14ac:dyDescent="0.25">
      <c r="A86" s="6"/>
      <c r="B86" s="161" t="s">
        <v>214</v>
      </c>
      <c r="C86" s="162"/>
      <c r="D86" s="162"/>
      <c r="E86" s="162"/>
      <c r="F86" s="162"/>
      <c r="G86" s="163">
        <f>1.19*12*F81</f>
        <v>17008.907999999999</v>
      </c>
      <c r="H86" s="164"/>
      <c r="I86" s="169" t="s">
        <v>215</v>
      </c>
      <c r="J86" s="35"/>
      <c r="K86" s="6"/>
      <c r="L86" s="161" t="s">
        <v>214</v>
      </c>
      <c r="M86" s="162"/>
      <c r="N86" s="162"/>
      <c r="O86" s="162"/>
      <c r="P86" s="162"/>
      <c r="Q86" s="163">
        <f>1.29*12*P81</f>
        <v>19597.68</v>
      </c>
      <c r="R86" s="164"/>
      <c r="S86" s="169" t="s">
        <v>215</v>
      </c>
    </row>
    <row r="87" spans="1:19" ht="27" customHeight="1" thickBot="1" x14ac:dyDescent="0.3">
      <c r="A87" s="7"/>
      <c r="B87" s="171" t="s">
        <v>216</v>
      </c>
      <c r="C87" s="172"/>
      <c r="D87" s="172"/>
      <c r="E87" s="172"/>
      <c r="F87" s="172"/>
      <c r="G87" s="165"/>
      <c r="H87" s="166"/>
      <c r="I87" s="170"/>
      <c r="J87" s="36"/>
      <c r="K87" s="7"/>
      <c r="L87" s="171" t="s">
        <v>216</v>
      </c>
      <c r="M87" s="172"/>
      <c r="N87" s="172"/>
      <c r="O87" s="172"/>
      <c r="P87" s="172"/>
      <c r="Q87" s="165"/>
      <c r="R87" s="166"/>
      <c r="S87" s="170"/>
    </row>
    <row r="88" spans="1:19" ht="13.5" customHeight="1" thickBot="1" x14ac:dyDescent="0.3">
      <c r="A88" s="7"/>
      <c r="B88" s="173" t="s">
        <v>217</v>
      </c>
      <c r="C88" s="174"/>
      <c r="D88" s="174"/>
      <c r="E88" s="174"/>
      <c r="F88" s="174"/>
      <c r="G88" s="167"/>
      <c r="H88" s="168"/>
      <c r="I88" s="8" t="s">
        <v>218</v>
      </c>
      <c r="J88" s="36"/>
      <c r="K88" s="7"/>
      <c r="L88" s="173" t="s">
        <v>217</v>
      </c>
      <c r="M88" s="174"/>
      <c r="N88" s="174"/>
      <c r="O88" s="174"/>
      <c r="P88" s="174"/>
      <c r="Q88" s="167"/>
      <c r="R88" s="168"/>
      <c r="S88" s="8" t="s">
        <v>218</v>
      </c>
    </row>
    <row r="89" spans="1:19" ht="13.5" customHeight="1" thickBot="1" x14ac:dyDescent="0.3">
      <c r="A89" s="7"/>
      <c r="B89" s="141" t="s">
        <v>219</v>
      </c>
      <c r="C89" s="142"/>
      <c r="D89" s="142"/>
      <c r="E89" s="142"/>
      <c r="F89" s="142"/>
      <c r="G89" s="143">
        <v>0</v>
      </c>
      <c r="H89" s="144"/>
      <c r="I89" s="8" t="s">
        <v>220</v>
      </c>
      <c r="J89" s="37"/>
      <c r="K89" s="7"/>
      <c r="L89" s="141" t="s">
        <v>219</v>
      </c>
      <c r="M89" s="142"/>
      <c r="N89" s="142"/>
      <c r="O89" s="142"/>
      <c r="P89" s="142"/>
      <c r="Q89" s="143">
        <v>0</v>
      </c>
      <c r="R89" s="144"/>
      <c r="S89" s="8" t="s">
        <v>220</v>
      </c>
    </row>
    <row r="90" spans="1:19" ht="18.75" customHeight="1" thickBot="1" x14ac:dyDescent="0.3">
      <c r="A90" s="7"/>
      <c r="B90" s="141" t="s">
        <v>221</v>
      </c>
      <c r="C90" s="142"/>
      <c r="D90" s="142"/>
      <c r="E90" s="142"/>
      <c r="F90" s="142"/>
      <c r="G90" s="143">
        <f>0.25*12*F81</f>
        <v>3573.2999999999997</v>
      </c>
      <c r="H90" s="144"/>
      <c r="I90" s="8" t="s">
        <v>222</v>
      </c>
      <c r="J90" s="38"/>
      <c r="K90" s="7"/>
      <c r="L90" s="141" t="s">
        <v>221</v>
      </c>
      <c r="M90" s="142"/>
      <c r="N90" s="142"/>
      <c r="O90" s="142"/>
      <c r="P90" s="142"/>
      <c r="Q90" s="143">
        <f>0.3*12*P81</f>
        <v>4557.5999999999995</v>
      </c>
      <c r="R90" s="144"/>
      <c r="S90" s="8" t="s">
        <v>222</v>
      </c>
    </row>
    <row r="91" spans="1:19" ht="13.5" customHeight="1" x14ac:dyDescent="0.25">
      <c r="A91" s="9"/>
      <c r="B91" s="145" t="s">
        <v>223</v>
      </c>
      <c r="C91" s="146"/>
      <c r="D91" s="146"/>
      <c r="E91" s="146"/>
      <c r="F91" s="146"/>
      <c r="G91" s="86">
        <f>1.7*12*F81</f>
        <v>24298.439999999995</v>
      </c>
      <c r="H91" s="147"/>
      <c r="I91" s="152" t="s">
        <v>224</v>
      </c>
      <c r="J91" s="38"/>
      <c r="K91" s="9"/>
      <c r="L91" s="145" t="s">
        <v>223</v>
      </c>
      <c r="M91" s="146"/>
      <c r="N91" s="146"/>
      <c r="O91" s="146"/>
      <c r="P91" s="146"/>
      <c r="Q91" s="86">
        <f>1.74*12*P81</f>
        <v>26434.079999999998</v>
      </c>
      <c r="R91" s="147"/>
      <c r="S91" s="152" t="s">
        <v>224</v>
      </c>
    </row>
    <row r="92" spans="1:19" ht="13.5" customHeight="1" x14ac:dyDescent="0.25">
      <c r="A92" s="10"/>
      <c r="B92" s="155" t="s">
        <v>226</v>
      </c>
      <c r="C92" s="156"/>
      <c r="D92" s="156"/>
      <c r="E92" s="156"/>
      <c r="F92" s="156"/>
      <c r="G92" s="148"/>
      <c r="H92" s="149"/>
      <c r="I92" s="153"/>
      <c r="J92" s="39"/>
      <c r="K92" s="10"/>
      <c r="L92" s="155" t="s">
        <v>226</v>
      </c>
      <c r="M92" s="156"/>
      <c r="N92" s="156"/>
      <c r="O92" s="156"/>
      <c r="P92" s="156"/>
      <c r="Q92" s="148"/>
      <c r="R92" s="149"/>
      <c r="S92" s="153"/>
    </row>
    <row r="93" spans="1:19" ht="13.5" customHeight="1" thickBot="1" x14ac:dyDescent="0.3">
      <c r="A93" s="10"/>
      <c r="B93" s="157" t="s">
        <v>227</v>
      </c>
      <c r="C93" s="158"/>
      <c r="D93" s="158"/>
      <c r="E93" s="158"/>
      <c r="F93" s="158"/>
      <c r="G93" s="148"/>
      <c r="H93" s="149"/>
      <c r="I93" s="154"/>
      <c r="J93" s="36"/>
      <c r="K93" s="10"/>
      <c r="L93" s="157" t="s">
        <v>227</v>
      </c>
      <c r="M93" s="158"/>
      <c r="N93" s="158"/>
      <c r="O93" s="158"/>
      <c r="P93" s="158"/>
      <c r="Q93" s="148"/>
      <c r="R93" s="149"/>
      <c r="S93" s="154"/>
    </row>
    <row r="94" spans="1:19" ht="13.5" customHeight="1" thickBot="1" x14ac:dyDescent="0.3">
      <c r="A94" s="10"/>
      <c r="B94" s="159" t="s">
        <v>228</v>
      </c>
      <c r="C94" s="160"/>
      <c r="D94" s="160"/>
      <c r="E94" s="160"/>
      <c r="F94" s="160"/>
      <c r="G94" s="150"/>
      <c r="H94" s="151"/>
      <c r="I94" s="11" t="s">
        <v>229</v>
      </c>
      <c r="J94" s="36"/>
      <c r="K94" s="10"/>
      <c r="L94" s="159" t="s">
        <v>228</v>
      </c>
      <c r="M94" s="160"/>
      <c r="N94" s="160"/>
      <c r="O94" s="160"/>
      <c r="P94" s="160"/>
      <c r="Q94" s="150"/>
      <c r="R94" s="151"/>
      <c r="S94" s="11" t="s">
        <v>229</v>
      </c>
    </row>
    <row r="95" spans="1:19" ht="13.5" customHeight="1" x14ac:dyDescent="0.25">
      <c r="A95" s="12"/>
      <c r="B95" s="125" t="s">
        <v>230</v>
      </c>
      <c r="C95" s="126"/>
      <c r="D95" s="126"/>
      <c r="E95" s="126"/>
      <c r="F95" s="126"/>
      <c r="G95" s="86">
        <f>0.02*12*F81</f>
        <v>285.86399999999998</v>
      </c>
      <c r="H95" s="87"/>
      <c r="I95" s="129" t="s">
        <v>220</v>
      </c>
      <c r="J95" s="36"/>
      <c r="K95" s="12"/>
      <c r="L95" s="125" t="s">
        <v>230</v>
      </c>
      <c r="M95" s="126"/>
      <c r="N95" s="126"/>
      <c r="O95" s="126"/>
      <c r="P95" s="126"/>
      <c r="Q95" s="86">
        <f>0.04*12*P81</f>
        <v>607.67999999999995</v>
      </c>
      <c r="R95" s="87"/>
      <c r="S95" s="129" t="s">
        <v>220</v>
      </c>
    </row>
    <row r="96" spans="1:19" ht="13.5" customHeight="1" thickBot="1" x14ac:dyDescent="0.3">
      <c r="A96" s="7"/>
      <c r="B96" s="131" t="s">
        <v>231</v>
      </c>
      <c r="C96" s="132"/>
      <c r="D96" s="132"/>
      <c r="E96" s="132"/>
      <c r="F96" s="132"/>
      <c r="G96" s="127"/>
      <c r="H96" s="128"/>
      <c r="I96" s="130"/>
      <c r="J96" s="36"/>
      <c r="K96" s="7"/>
      <c r="L96" s="131" t="s">
        <v>231</v>
      </c>
      <c r="M96" s="132"/>
      <c r="N96" s="132"/>
      <c r="O96" s="132"/>
      <c r="P96" s="132"/>
      <c r="Q96" s="127"/>
      <c r="R96" s="128"/>
      <c r="S96" s="130"/>
    </row>
    <row r="97" spans="1:19" ht="15.75" customHeight="1" thickBot="1" x14ac:dyDescent="0.3">
      <c r="A97" s="13"/>
      <c r="B97" s="133" t="s">
        <v>232</v>
      </c>
      <c r="C97" s="134"/>
      <c r="D97" s="134"/>
      <c r="E97" s="134"/>
      <c r="F97" s="134"/>
      <c r="G97" s="135"/>
      <c r="H97" s="136"/>
      <c r="I97" s="14"/>
      <c r="J97" s="40"/>
      <c r="K97" s="13"/>
      <c r="L97" s="133" t="s">
        <v>232</v>
      </c>
      <c r="M97" s="134"/>
      <c r="N97" s="134"/>
      <c r="O97" s="134"/>
      <c r="P97" s="134"/>
      <c r="Q97" s="135"/>
      <c r="R97" s="136"/>
      <c r="S97" s="14"/>
    </row>
    <row r="98" spans="1:19" ht="15.75" customHeight="1" thickBot="1" x14ac:dyDescent="0.3">
      <c r="A98" s="13"/>
      <c r="B98" s="84" t="s">
        <v>233</v>
      </c>
      <c r="C98" s="85"/>
      <c r="D98" s="85"/>
      <c r="E98" s="85"/>
      <c r="F98" s="85"/>
      <c r="G98" s="86">
        <f>1.33*12*F81</f>
        <v>19009.955999999998</v>
      </c>
      <c r="H98" s="87"/>
      <c r="I98" s="92" t="s">
        <v>663</v>
      </c>
      <c r="J98" s="41"/>
      <c r="K98" s="13"/>
      <c r="L98" s="84" t="s">
        <v>233</v>
      </c>
      <c r="M98" s="85"/>
      <c r="N98" s="85"/>
      <c r="O98" s="85"/>
      <c r="P98" s="85"/>
      <c r="Q98" s="86">
        <f>1.22*12*P81</f>
        <v>18534.240000000002</v>
      </c>
      <c r="R98" s="87"/>
      <c r="S98" s="317" t="s">
        <v>664</v>
      </c>
    </row>
    <row r="99" spans="1:19" ht="29.1" customHeight="1" x14ac:dyDescent="0.25">
      <c r="A99" s="118"/>
      <c r="B99" s="121" t="s">
        <v>226</v>
      </c>
      <c r="C99" s="122"/>
      <c r="D99" s="122"/>
      <c r="E99" s="122"/>
      <c r="F99" s="122"/>
      <c r="G99" s="88"/>
      <c r="H99" s="89"/>
      <c r="I99" s="93"/>
      <c r="J99" s="41"/>
      <c r="K99" s="118"/>
      <c r="L99" s="121" t="s">
        <v>226</v>
      </c>
      <c r="M99" s="122"/>
      <c r="N99" s="122"/>
      <c r="O99" s="122"/>
      <c r="P99" s="122"/>
      <c r="Q99" s="88"/>
      <c r="R99" s="89"/>
      <c r="S99" s="318"/>
    </row>
    <row r="100" spans="1:19" ht="22.5" customHeight="1" x14ac:dyDescent="0.25">
      <c r="A100" s="119"/>
      <c r="B100" s="121" t="s">
        <v>227</v>
      </c>
      <c r="C100" s="122"/>
      <c r="D100" s="122"/>
      <c r="E100" s="122"/>
      <c r="F100" s="122"/>
      <c r="G100" s="88"/>
      <c r="H100" s="89"/>
      <c r="I100" s="93"/>
      <c r="J100" s="41"/>
      <c r="K100" s="119"/>
      <c r="L100" s="121" t="s">
        <v>227</v>
      </c>
      <c r="M100" s="122"/>
      <c r="N100" s="122"/>
      <c r="O100" s="122"/>
      <c r="P100" s="122"/>
      <c r="Q100" s="88"/>
      <c r="R100" s="89"/>
      <c r="S100" s="318"/>
    </row>
    <row r="101" spans="1:19" ht="24" customHeight="1" x14ac:dyDescent="0.25">
      <c r="A101" s="119"/>
      <c r="B101" s="121" t="s">
        <v>228</v>
      </c>
      <c r="C101" s="122"/>
      <c r="D101" s="122"/>
      <c r="E101" s="122"/>
      <c r="F101" s="122"/>
      <c r="G101" s="88"/>
      <c r="H101" s="89"/>
      <c r="I101" s="93"/>
      <c r="J101" s="42"/>
      <c r="K101" s="119"/>
      <c r="L101" s="121" t="s">
        <v>228</v>
      </c>
      <c r="M101" s="122"/>
      <c r="N101" s="122"/>
      <c r="O101" s="122"/>
      <c r="P101" s="122"/>
      <c r="Q101" s="88"/>
      <c r="R101" s="89"/>
      <c r="S101" s="318"/>
    </row>
    <row r="102" spans="1:19" ht="29.45" customHeight="1" thickBot="1" x14ac:dyDescent="0.3">
      <c r="A102" s="120"/>
      <c r="B102" s="123" t="s">
        <v>234</v>
      </c>
      <c r="C102" s="124"/>
      <c r="D102" s="124"/>
      <c r="E102" s="124"/>
      <c r="F102" s="124"/>
      <c r="G102" s="90"/>
      <c r="H102" s="91"/>
      <c r="I102" s="94"/>
      <c r="J102" s="43"/>
      <c r="K102" s="120"/>
      <c r="L102" s="123" t="s">
        <v>234</v>
      </c>
      <c r="M102" s="124"/>
      <c r="N102" s="124"/>
      <c r="O102" s="124"/>
      <c r="P102" s="124"/>
      <c r="Q102" s="90"/>
      <c r="R102" s="91"/>
      <c r="S102" s="319"/>
    </row>
    <row r="103" spans="1:19" ht="18" hidden="1" customHeight="1" x14ac:dyDescent="0.25">
      <c r="A103" s="15"/>
      <c r="B103" s="137" t="s">
        <v>248</v>
      </c>
      <c r="C103" s="138"/>
      <c r="D103" s="138"/>
      <c r="E103" s="138"/>
      <c r="F103" s="138"/>
      <c r="G103" s="139"/>
      <c r="H103" s="140"/>
      <c r="I103" s="16"/>
      <c r="J103" s="44"/>
      <c r="K103" s="15"/>
      <c r="L103" s="137" t="s">
        <v>248</v>
      </c>
      <c r="M103" s="138"/>
      <c r="N103" s="138"/>
      <c r="O103" s="138"/>
      <c r="P103" s="138"/>
      <c r="Q103" s="139"/>
      <c r="R103" s="140"/>
      <c r="S103" s="16"/>
    </row>
    <row r="104" spans="1:19" ht="1.5" customHeight="1" thickBot="1" x14ac:dyDescent="0.3">
      <c r="A104" s="15"/>
      <c r="B104" s="137" t="s">
        <v>235</v>
      </c>
      <c r="C104" s="138"/>
      <c r="D104" s="138"/>
      <c r="E104" s="138"/>
      <c r="F104" s="138"/>
      <c r="G104" s="139"/>
      <c r="H104" s="140"/>
      <c r="I104" s="16"/>
      <c r="J104" s="40"/>
      <c r="K104" s="15"/>
      <c r="L104" s="137" t="s">
        <v>235</v>
      </c>
      <c r="M104" s="138"/>
      <c r="N104" s="138"/>
      <c r="O104" s="138"/>
      <c r="P104" s="138"/>
      <c r="Q104" s="139"/>
      <c r="R104" s="140"/>
      <c r="S104" s="16"/>
    </row>
    <row r="105" spans="1:19" ht="33" customHeight="1" thickBot="1" x14ac:dyDescent="0.3">
      <c r="A105" s="17"/>
      <c r="B105" s="78" t="s">
        <v>237</v>
      </c>
      <c r="C105" s="79"/>
      <c r="D105" s="79"/>
      <c r="E105" s="79"/>
      <c r="F105" s="79"/>
      <c r="G105" s="86">
        <v>7955</v>
      </c>
      <c r="H105" s="87"/>
      <c r="I105" s="108" t="s">
        <v>229</v>
      </c>
      <c r="J105" s="27"/>
      <c r="K105" s="17"/>
      <c r="L105" s="78" t="s">
        <v>237</v>
      </c>
      <c r="M105" s="79"/>
      <c r="N105" s="79"/>
      <c r="O105" s="79"/>
      <c r="P105" s="79"/>
      <c r="Q105" s="86">
        <v>7955</v>
      </c>
      <c r="R105" s="87"/>
      <c r="S105" s="108" t="s">
        <v>229</v>
      </c>
    </row>
    <row r="106" spans="1:19" ht="15" customHeight="1" thickBot="1" x14ac:dyDescent="0.3">
      <c r="A106" s="18"/>
      <c r="B106" s="110" t="s">
        <v>238</v>
      </c>
      <c r="C106" s="111"/>
      <c r="D106" s="111"/>
      <c r="E106" s="111"/>
      <c r="F106" s="111"/>
      <c r="G106" s="90"/>
      <c r="H106" s="91"/>
      <c r="I106" s="109"/>
      <c r="J106" s="45"/>
      <c r="K106" s="18"/>
      <c r="L106" s="110" t="s">
        <v>238</v>
      </c>
      <c r="M106" s="111"/>
      <c r="N106" s="111"/>
      <c r="O106" s="111"/>
      <c r="P106" s="111"/>
      <c r="Q106" s="90"/>
      <c r="R106" s="91"/>
      <c r="S106" s="109"/>
    </row>
    <row r="107" spans="1:19" ht="15" customHeight="1" thickBot="1" x14ac:dyDescent="0.3">
      <c r="A107" s="19"/>
      <c r="B107" s="112" t="s">
        <v>239</v>
      </c>
      <c r="C107" s="113"/>
      <c r="D107" s="113"/>
      <c r="E107" s="113"/>
      <c r="F107" s="113"/>
      <c r="G107" s="114">
        <f>SUM(G86:H106)</f>
        <v>72131.467999999993</v>
      </c>
      <c r="H107" s="115"/>
      <c r="I107" s="20"/>
      <c r="J107" s="46"/>
      <c r="K107" s="19"/>
      <c r="L107" s="112" t="s">
        <v>239</v>
      </c>
      <c r="M107" s="113"/>
      <c r="N107" s="113"/>
      <c r="O107" s="113"/>
      <c r="P107" s="113"/>
      <c r="Q107" s="114">
        <f>SUM(Q86:R106)</f>
        <v>77686.28</v>
      </c>
      <c r="R107" s="115"/>
      <c r="S107" s="20"/>
    </row>
    <row r="108" spans="1:19" ht="24.75" customHeight="1" thickBot="1" x14ac:dyDescent="0.3">
      <c r="A108" s="21"/>
      <c r="B108" s="101" t="s">
        <v>240</v>
      </c>
      <c r="C108" s="102"/>
      <c r="D108" s="102"/>
      <c r="E108" s="102"/>
      <c r="F108" s="102"/>
      <c r="G108" s="116">
        <f>G107*1.2</f>
        <v>86557.761599999983</v>
      </c>
      <c r="H108" s="117"/>
      <c r="I108" s="22"/>
      <c r="J108" s="47"/>
      <c r="K108" s="21"/>
      <c r="L108" s="101" t="s">
        <v>240</v>
      </c>
      <c r="M108" s="102"/>
      <c r="N108" s="102"/>
      <c r="O108" s="102"/>
      <c r="P108" s="102"/>
      <c r="Q108" s="116">
        <f>Q107*1.2</f>
        <v>93223.535999999993</v>
      </c>
      <c r="R108" s="117"/>
      <c r="S108" s="22"/>
    </row>
    <row r="109" spans="1:19" ht="24.75" customHeight="1" thickBot="1" x14ac:dyDescent="0.3">
      <c r="A109" s="24"/>
      <c r="B109" s="96" t="s">
        <v>443</v>
      </c>
      <c r="C109" s="97"/>
      <c r="D109" s="97"/>
      <c r="E109" s="97"/>
      <c r="F109" s="97"/>
      <c r="G109" s="311">
        <v>86253.54</v>
      </c>
      <c r="H109" s="312"/>
      <c r="I109" s="313"/>
      <c r="J109" s="47"/>
      <c r="K109" s="24"/>
      <c r="L109" s="96" t="s">
        <v>443</v>
      </c>
      <c r="M109" s="97"/>
      <c r="N109" s="97"/>
      <c r="O109" s="97"/>
      <c r="P109" s="97"/>
      <c r="Q109" s="311">
        <v>92155.05</v>
      </c>
      <c r="R109" s="312"/>
      <c r="S109" s="313"/>
    </row>
    <row r="110" spans="1:19" ht="24.75" customHeight="1" thickBot="1" x14ac:dyDescent="0.3">
      <c r="A110" s="19"/>
      <c r="B110" s="101" t="s">
        <v>242</v>
      </c>
      <c r="C110" s="102"/>
      <c r="D110" s="102"/>
      <c r="E110" s="102"/>
      <c r="F110" s="102"/>
      <c r="G110" s="307">
        <v>75805.759999999995</v>
      </c>
      <c r="H110" s="308"/>
      <c r="I110" s="309"/>
      <c r="J110" s="47"/>
      <c r="K110" s="19"/>
      <c r="L110" s="101" t="s">
        <v>242</v>
      </c>
      <c r="M110" s="102"/>
      <c r="N110" s="102"/>
      <c r="O110" s="102"/>
      <c r="P110" s="102"/>
      <c r="Q110" s="333">
        <v>86989</v>
      </c>
      <c r="R110" s="334"/>
      <c r="S110" s="335"/>
    </row>
    <row r="111" spans="1:19" ht="24.75" customHeight="1" thickBot="1" x14ac:dyDescent="0.3">
      <c r="A111" s="19"/>
      <c r="B111" s="106" t="s">
        <v>444</v>
      </c>
      <c r="C111" s="107"/>
      <c r="D111" s="107"/>
      <c r="E111" s="107"/>
      <c r="F111" s="107"/>
      <c r="G111" s="307">
        <v>34363.440000000002</v>
      </c>
      <c r="H111" s="308"/>
      <c r="I111" s="309"/>
      <c r="J111" s="47"/>
      <c r="K111" s="19"/>
      <c r="L111" s="106" t="s">
        <v>444</v>
      </c>
      <c r="M111" s="107"/>
      <c r="N111" s="107"/>
      <c r="O111" s="107"/>
      <c r="P111" s="107"/>
      <c r="Q111" s="307">
        <v>32169.95</v>
      </c>
      <c r="R111" s="308"/>
      <c r="S111" s="309"/>
    </row>
    <row r="112" spans="1:19" x14ac:dyDescent="0.25">
      <c r="E112" s="50"/>
      <c r="I112" s="5"/>
      <c r="O112" s="50"/>
      <c r="S112" s="5"/>
    </row>
    <row r="113" spans="1:19" x14ac:dyDescent="0.25">
      <c r="A113" s="3"/>
      <c r="I113" s="5"/>
      <c r="K113" s="3"/>
      <c r="S113" s="5"/>
    </row>
    <row r="114" spans="1:19" ht="15.75" x14ac:dyDescent="0.25">
      <c r="B114" s="30"/>
      <c r="K114" s="30"/>
      <c r="L114" s="30"/>
    </row>
    <row r="115" spans="1:19" ht="15.75" x14ac:dyDescent="0.25">
      <c r="B115" s="30"/>
      <c r="K115" s="30"/>
      <c r="L115" s="30"/>
    </row>
    <row r="116" spans="1:19" x14ac:dyDescent="0.25">
      <c r="A116" s="3"/>
      <c r="B116" s="3"/>
      <c r="C116" s="3"/>
      <c r="D116" s="3"/>
      <c r="E116" s="4" t="s">
        <v>204</v>
      </c>
      <c r="F116" s="3"/>
      <c r="G116" s="3"/>
      <c r="H116" s="3"/>
      <c r="I116" s="3"/>
      <c r="K116" s="3"/>
      <c r="L116" s="3"/>
      <c r="M116" s="3"/>
      <c r="N116" s="3"/>
      <c r="O116" s="4" t="s">
        <v>204</v>
      </c>
      <c r="P116" s="3"/>
      <c r="Q116" s="3"/>
      <c r="R116" s="3"/>
      <c r="S116" s="3"/>
    </row>
    <row r="117" spans="1:19" x14ac:dyDescent="0.25">
      <c r="A117" s="3" t="s">
        <v>205</v>
      </c>
      <c r="B117" s="3"/>
      <c r="C117" s="3"/>
      <c r="D117" s="3" t="s">
        <v>423</v>
      </c>
      <c r="E117" s="3"/>
      <c r="F117" s="3"/>
      <c r="G117" s="3"/>
      <c r="H117" s="3"/>
      <c r="I117" s="3"/>
      <c r="K117" s="3" t="s">
        <v>205</v>
      </c>
      <c r="L117" s="3"/>
      <c r="M117" s="3"/>
      <c r="N117" s="3" t="s">
        <v>424</v>
      </c>
      <c r="O117" s="3"/>
      <c r="P117" s="3"/>
      <c r="Q117" s="3"/>
      <c r="R117" s="3"/>
      <c r="S117" s="3"/>
    </row>
    <row r="118" spans="1:19" ht="15.75" customHeight="1" x14ac:dyDescent="0.25">
      <c r="A118" s="3"/>
      <c r="B118" s="5" t="s">
        <v>440</v>
      </c>
      <c r="C118" s="3"/>
      <c r="D118" s="3"/>
      <c r="E118" s="3"/>
      <c r="F118" s="3"/>
      <c r="G118" s="3"/>
      <c r="H118" s="3"/>
      <c r="I118" s="3"/>
      <c r="K118" s="3"/>
      <c r="L118" s="5" t="s">
        <v>440</v>
      </c>
      <c r="M118" s="3"/>
      <c r="N118" s="3"/>
      <c r="O118" s="3"/>
      <c r="P118" s="3"/>
      <c r="Q118" s="3"/>
      <c r="R118" s="3"/>
      <c r="S118" s="3"/>
    </row>
    <row r="119" spans="1:19" ht="17.25" customHeight="1" thickBot="1" x14ac:dyDescent="0.3">
      <c r="A119" s="3"/>
      <c r="B119" s="5" t="s">
        <v>206</v>
      </c>
      <c r="C119" s="3"/>
      <c r="D119" s="3"/>
      <c r="E119" s="3"/>
      <c r="F119" s="3">
        <v>2005.7</v>
      </c>
      <c r="G119" s="3" t="s">
        <v>207</v>
      </c>
      <c r="H119" s="3"/>
      <c r="I119" s="3"/>
      <c r="J119" s="3"/>
      <c r="K119" s="3"/>
      <c r="L119" s="5" t="s">
        <v>206</v>
      </c>
      <c r="M119" s="3"/>
      <c r="N119" s="3"/>
      <c r="O119" s="3"/>
      <c r="P119" s="3">
        <v>687.6</v>
      </c>
      <c r="Q119" s="3" t="s">
        <v>207</v>
      </c>
      <c r="R119" s="3"/>
      <c r="S119" s="3"/>
    </row>
    <row r="120" spans="1:19" ht="57" customHeight="1" thickBot="1" x14ac:dyDescent="0.3">
      <c r="A120" s="175" t="s">
        <v>209</v>
      </c>
      <c r="B120" s="177" t="s">
        <v>210</v>
      </c>
      <c r="C120" s="178"/>
      <c r="D120" s="178"/>
      <c r="E120" s="178"/>
      <c r="F120" s="178"/>
      <c r="G120" s="180" t="s">
        <v>442</v>
      </c>
      <c r="H120" s="181"/>
      <c r="I120" s="175" t="s">
        <v>212</v>
      </c>
      <c r="J120" s="3"/>
      <c r="K120" s="175" t="s">
        <v>209</v>
      </c>
      <c r="L120" s="177" t="s">
        <v>210</v>
      </c>
      <c r="M120" s="178"/>
      <c r="N120" s="178"/>
      <c r="O120" s="178"/>
      <c r="P120" s="178"/>
      <c r="Q120" s="180" t="s">
        <v>442</v>
      </c>
      <c r="R120" s="181"/>
      <c r="S120" s="175" t="s">
        <v>212</v>
      </c>
    </row>
    <row r="121" spans="1:19" ht="15.75" hidden="1" customHeight="1" x14ac:dyDescent="0.25">
      <c r="A121" s="176"/>
      <c r="B121" s="179"/>
      <c r="C121" s="179"/>
      <c r="D121" s="179"/>
      <c r="E121" s="179"/>
      <c r="F121" s="179"/>
      <c r="G121" s="182"/>
      <c r="H121" s="183"/>
      <c r="I121" s="184"/>
      <c r="J121" s="31"/>
      <c r="K121" s="176"/>
      <c r="L121" s="179"/>
      <c r="M121" s="179"/>
      <c r="N121" s="179"/>
      <c r="O121" s="179"/>
      <c r="P121" s="179"/>
      <c r="Q121" s="182"/>
      <c r="R121" s="183"/>
      <c r="S121" s="184"/>
    </row>
    <row r="122" spans="1:19" ht="16.5" customHeight="1" thickBot="1" x14ac:dyDescent="0.3">
      <c r="A122" s="185" t="s">
        <v>213</v>
      </c>
      <c r="B122" s="187" t="s">
        <v>354</v>
      </c>
      <c r="C122" s="188"/>
      <c r="D122" s="188"/>
      <c r="E122" s="188"/>
      <c r="F122" s="188"/>
      <c r="G122" s="190">
        <v>51036.959999999999</v>
      </c>
      <c r="H122" s="191"/>
      <c r="I122" s="192"/>
      <c r="J122" s="32"/>
      <c r="K122" s="185" t="s">
        <v>213</v>
      </c>
      <c r="L122" s="187" t="s">
        <v>354</v>
      </c>
      <c r="M122" s="188"/>
      <c r="N122" s="188"/>
      <c r="O122" s="188"/>
      <c r="P122" s="188"/>
      <c r="Q122" s="190">
        <v>6640.09</v>
      </c>
      <c r="R122" s="191"/>
      <c r="S122" s="192"/>
    </row>
    <row r="123" spans="1:19" ht="13.5" customHeight="1" thickBot="1" x14ac:dyDescent="0.3">
      <c r="A123" s="186"/>
      <c r="B123" s="189"/>
      <c r="C123" s="189"/>
      <c r="D123" s="189"/>
      <c r="E123" s="189"/>
      <c r="F123" s="189"/>
      <c r="G123" s="193"/>
      <c r="H123" s="194"/>
      <c r="I123" s="128"/>
      <c r="J123" s="33"/>
      <c r="K123" s="186"/>
      <c r="L123" s="189"/>
      <c r="M123" s="189"/>
      <c r="N123" s="189"/>
      <c r="O123" s="189"/>
      <c r="P123" s="189"/>
      <c r="Q123" s="193"/>
      <c r="R123" s="194"/>
      <c r="S123" s="128"/>
    </row>
    <row r="124" spans="1:19" ht="13.5" customHeight="1" x14ac:dyDescent="0.25">
      <c r="A124" s="6"/>
      <c r="B124" s="161" t="s">
        <v>214</v>
      </c>
      <c r="C124" s="162"/>
      <c r="D124" s="162"/>
      <c r="E124" s="162"/>
      <c r="F124" s="162"/>
      <c r="G124" s="163">
        <f>1.1*12*F119</f>
        <v>26475.24</v>
      </c>
      <c r="H124" s="164"/>
      <c r="I124" s="169" t="s">
        <v>215</v>
      </c>
      <c r="J124" s="36"/>
      <c r="K124" s="6"/>
      <c r="L124" s="161" t="s">
        <v>214</v>
      </c>
      <c r="M124" s="162"/>
      <c r="N124" s="162"/>
      <c r="O124" s="162"/>
      <c r="P124" s="162"/>
      <c r="Q124" s="163">
        <f>1.2*12*P119</f>
        <v>9901.4399999999987</v>
      </c>
      <c r="R124" s="164"/>
      <c r="S124" s="169" t="s">
        <v>215</v>
      </c>
    </row>
    <row r="125" spans="1:19" ht="30" customHeight="1" thickBot="1" x14ac:dyDescent="0.3">
      <c r="A125" s="7"/>
      <c r="B125" s="171" t="s">
        <v>216</v>
      </c>
      <c r="C125" s="172"/>
      <c r="D125" s="172"/>
      <c r="E125" s="172"/>
      <c r="F125" s="172"/>
      <c r="G125" s="165"/>
      <c r="H125" s="166"/>
      <c r="I125" s="170"/>
      <c r="J125" s="35"/>
      <c r="K125" s="7"/>
      <c r="L125" s="171" t="s">
        <v>216</v>
      </c>
      <c r="M125" s="172"/>
      <c r="N125" s="172"/>
      <c r="O125" s="172"/>
      <c r="P125" s="172"/>
      <c r="Q125" s="165"/>
      <c r="R125" s="166"/>
      <c r="S125" s="170"/>
    </row>
    <row r="126" spans="1:19" ht="13.5" customHeight="1" thickBot="1" x14ac:dyDescent="0.3">
      <c r="A126" s="7"/>
      <c r="B126" s="173" t="s">
        <v>217</v>
      </c>
      <c r="C126" s="174"/>
      <c r="D126" s="174"/>
      <c r="E126" s="174"/>
      <c r="F126" s="174"/>
      <c r="G126" s="167"/>
      <c r="H126" s="168"/>
      <c r="I126" s="8" t="s">
        <v>218</v>
      </c>
      <c r="J126" s="36"/>
      <c r="K126" s="7"/>
      <c r="L126" s="173" t="s">
        <v>217</v>
      </c>
      <c r="M126" s="174"/>
      <c r="N126" s="174"/>
      <c r="O126" s="174"/>
      <c r="P126" s="174"/>
      <c r="Q126" s="167"/>
      <c r="R126" s="168"/>
      <c r="S126" s="8" t="s">
        <v>218</v>
      </c>
    </row>
    <row r="127" spans="1:19" ht="13.5" customHeight="1" thickBot="1" x14ac:dyDescent="0.3">
      <c r="A127" s="7"/>
      <c r="B127" s="141" t="s">
        <v>219</v>
      </c>
      <c r="C127" s="142"/>
      <c r="D127" s="142"/>
      <c r="E127" s="142"/>
      <c r="F127" s="142"/>
      <c r="G127" s="143">
        <v>0</v>
      </c>
      <c r="H127" s="144"/>
      <c r="I127" s="8" t="s">
        <v>220</v>
      </c>
      <c r="J127" s="36"/>
      <c r="K127" s="7"/>
      <c r="L127" s="141" t="s">
        <v>219</v>
      </c>
      <c r="M127" s="142"/>
      <c r="N127" s="142"/>
      <c r="O127" s="142"/>
      <c r="P127" s="142"/>
      <c r="Q127" s="143">
        <v>0</v>
      </c>
      <c r="R127" s="144"/>
      <c r="S127" s="8" t="s">
        <v>220</v>
      </c>
    </row>
    <row r="128" spans="1:19" ht="13.5" customHeight="1" thickBot="1" x14ac:dyDescent="0.3">
      <c r="A128" s="7"/>
      <c r="B128" s="141" t="s">
        <v>221</v>
      </c>
      <c r="C128" s="142"/>
      <c r="D128" s="142"/>
      <c r="E128" s="142"/>
      <c r="F128" s="142"/>
      <c r="G128" s="143">
        <f>0.3*12*F119</f>
        <v>7220.5199999999995</v>
      </c>
      <c r="H128" s="144"/>
      <c r="I128" s="8" t="s">
        <v>222</v>
      </c>
      <c r="J128" s="37"/>
      <c r="K128" s="7"/>
      <c r="L128" s="141" t="s">
        <v>221</v>
      </c>
      <c r="M128" s="142"/>
      <c r="N128" s="142"/>
      <c r="O128" s="142"/>
      <c r="P128" s="142"/>
      <c r="Q128" s="143">
        <f>0.25*12*P119</f>
        <v>2062.8000000000002</v>
      </c>
      <c r="R128" s="144"/>
      <c r="S128" s="8" t="s">
        <v>222</v>
      </c>
    </row>
    <row r="129" spans="1:19" ht="13.5" customHeight="1" x14ac:dyDescent="0.25">
      <c r="A129" s="9"/>
      <c r="B129" s="145" t="s">
        <v>223</v>
      </c>
      <c r="C129" s="146"/>
      <c r="D129" s="146"/>
      <c r="E129" s="146"/>
      <c r="F129" s="146"/>
      <c r="G129" s="86">
        <f>1.6*12*F119</f>
        <v>38509.44000000001</v>
      </c>
      <c r="H129" s="147"/>
      <c r="I129" s="152" t="s">
        <v>224</v>
      </c>
      <c r="J129" s="38"/>
      <c r="K129" s="9"/>
      <c r="L129" s="145" t="s">
        <v>223</v>
      </c>
      <c r="M129" s="146"/>
      <c r="N129" s="146"/>
      <c r="O129" s="146"/>
      <c r="P129" s="146"/>
      <c r="Q129" s="86">
        <f>1.4*12*P119</f>
        <v>11551.679999999998</v>
      </c>
      <c r="R129" s="147"/>
      <c r="S129" s="152" t="s">
        <v>224</v>
      </c>
    </row>
    <row r="130" spans="1:19" ht="13.5" customHeight="1" x14ac:dyDescent="0.25">
      <c r="A130" s="10"/>
      <c r="B130" s="155" t="s">
        <v>226</v>
      </c>
      <c r="C130" s="156"/>
      <c r="D130" s="156"/>
      <c r="E130" s="156"/>
      <c r="F130" s="156"/>
      <c r="G130" s="148"/>
      <c r="H130" s="149"/>
      <c r="I130" s="153"/>
      <c r="J130" s="38"/>
      <c r="K130" s="10"/>
      <c r="L130" s="155" t="s">
        <v>226</v>
      </c>
      <c r="M130" s="156"/>
      <c r="N130" s="156"/>
      <c r="O130" s="156"/>
      <c r="P130" s="156"/>
      <c r="Q130" s="148"/>
      <c r="R130" s="149"/>
      <c r="S130" s="153"/>
    </row>
    <row r="131" spans="1:19" ht="13.5" customHeight="1" thickBot="1" x14ac:dyDescent="0.3">
      <c r="A131" s="10"/>
      <c r="B131" s="157" t="s">
        <v>227</v>
      </c>
      <c r="C131" s="158"/>
      <c r="D131" s="158"/>
      <c r="E131" s="158"/>
      <c r="F131" s="158"/>
      <c r="G131" s="148"/>
      <c r="H131" s="149"/>
      <c r="I131" s="154"/>
      <c r="J131" s="39"/>
      <c r="K131" s="10"/>
      <c r="L131" s="157" t="s">
        <v>227</v>
      </c>
      <c r="M131" s="158"/>
      <c r="N131" s="158"/>
      <c r="O131" s="158"/>
      <c r="P131" s="158"/>
      <c r="Q131" s="148"/>
      <c r="R131" s="149"/>
      <c r="S131" s="154"/>
    </row>
    <row r="132" spans="1:19" ht="13.5" customHeight="1" thickBot="1" x14ac:dyDescent="0.3">
      <c r="A132" s="10"/>
      <c r="B132" s="159" t="s">
        <v>228</v>
      </c>
      <c r="C132" s="160"/>
      <c r="D132" s="160"/>
      <c r="E132" s="160"/>
      <c r="F132" s="160"/>
      <c r="G132" s="150"/>
      <c r="H132" s="151"/>
      <c r="I132" s="11" t="s">
        <v>229</v>
      </c>
      <c r="J132" s="36"/>
      <c r="K132" s="10"/>
      <c r="L132" s="159" t="s">
        <v>228</v>
      </c>
      <c r="M132" s="160"/>
      <c r="N132" s="160"/>
      <c r="O132" s="160"/>
      <c r="P132" s="160"/>
      <c r="Q132" s="150"/>
      <c r="R132" s="151"/>
      <c r="S132" s="11" t="s">
        <v>229</v>
      </c>
    </row>
    <row r="133" spans="1:19" ht="15.75" customHeight="1" x14ac:dyDescent="0.25">
      <c r="A133" s="12"/>
      <c r="B133" s="125" t="s">
        <v>230</v>
      </c>
      <c r="C133" s="126"/>
      <c r="D133" s="126"/>
      <c r="E133" s="126"/>
      <c r="F133" s="126"/>
      <c r="G133" s="86">
        <f>0.048*12*F119</f>
        <v>1155.2832000000001</v>
      </c>
      <c r="H133" s="87"/>
      <c r="I133" s="129" t="s">
        <v>220</v>
      </c>
      <c r="J133" s="36"/>
      <c r="K133" s="12"/>
      <c r="L133" s="125" t="s">
        <v>230</v>
      </c>
      <c r="M133" s="126"/>
      <c r="N133" s="126"/>
      <c r="O133" s="126"/>
      <c r="P133" s="126"/>
      <c r="Q133" s="86">
        <v>0</v>
      </c>
      <c r="R133" s="87"/>
      <c r="S133" s="129" t="s">
        <v>220</v>
      </c>
    </row>
    <row r="134" spans="1:19" ht="15.75" customHeight="1" thickBot="1" x14ac:dyDescent="0.3">
      <c r="A134" s="7"/>
      <c r="B134" s="131" t="s">
        <v>231</v>
      </c>
      <c r="C134" s="132"/>
      <c r="D134" s="132"/>
      <c r="E134" s="132"/>
      <c r="F134" s="132"/>
      <c r="G134" s="127"/>
      <c r="H134" s="128"/>
      <c r="I134" s="130"/>
      <c r="J134" s="36"/>
      <c r="K134" s="7"/>
      <c r="L134" s="131" t="s">
        <v>231</v>
      </c>
      <c r="M134" s="132"/>
      <c r="N134" s="132"/>
      <c r="O134" s="132"/>
      <c r="P134" s="132"/>
      <c r="Q134" s="127"/>
      <c r="R134" s="128"/>
      <c r="S134" s="130"/>
    </row>
    <row r="135" spans="1:19" ht="15.75" customHeight="1" thickBot="1" x14ac:dyDescent="0.3">
      <c r="A135" s="13"/>
      <c r="B135" s="133" t="s">
        <v>232</v>
      </c>
      <c r="C135" s="134"/>
      <c r="D135" s="134"/>
      <c r="E135" s="134"/>
      <c r="F135" s="134"/>
      <c r="G135" s="135"/>
      <c r="H135" s="136"/>
      <c r="I135" s="14"/>
      <c r="J135" s="36"/>
      <c r="K135" s="13"/>
      <c r="L135" s="133" t="s">
        <v>232</v>
      </c>
      <c r="M135" s="134"/>
      <c r="N135" s="134"/>
      <c r="O135" s="134"/>
      <c r="P135" s="134"/>
      <c r="Q135" s="135"/>
      <c r="R135" s="136"/>
      <c r="S135" s="14"/>
    </row>
    <row r="136" spans="1:19" ht="15.75" thickBot="1" x14ac:dyDescent="0.3">
      <c r="A136" s="13"/>
      <c r="B136" s="84" t="s">
        <v>233</v>
      </c>
      <c r="C136" s="85"/>
      <c r="D136" s="85"/>
      <c r="E136" s="85"/>
      <c r="F136" s="85"/>
      <c r="G136" s="86">
        <f>1.21*12*F119</f>
        <v>29122.763999999999</v>
      </c>
      <c r="H136" s="87"/>
      <c r="I136" s="92" t="s">
        <v>666</v>
      </c>
      <c r="J136" s="41"/>
      <c r="K136" s="13"/>
      <c r="L136" s="84" t="s">
        <v>233</v>
      </c>
      <c r="M136" s="85"/>
      <c r="N136" s="85"/>
      <c r="O136" s="85"/>
      <c r="P136" s="85"/>
      <c r="Q136" s="86">
        <f>1.3*12*P119</f>
        <v>10726.560000000001</v>
      </c>
      <c r="R136" s="87"/>
      <c r="S136" s="92" t="s">
        <v>667</v>
      </c>
    </row>
    <row r="137" spans="1:19" ht="15" customHeight="1" x14ac:dyDescent="0.25">
      <c r="A137" s="118"/>
      <c r="B137" s="121" t="s">
        <v>226</v>
      </c>
      <c r="C137" s="122"/>
      <c r="D137" s="122"/>
      <c r="E137" s="122"/>
      <c r="F137" s="122"/>
      <c r="G137" s="88"/>
      <c r="H137" s="89"/>
      <c r="I137" s="93"/>
      <c r="J137" s="41"/>
      <c r="K137" s="118"/>
      <c r="L137" s="121" t="s">
        <v>226</v>
      </c>
      <c r="M137" s="122"/>
      <c r="N137" s="122"/>
      <c r="O137" s="122"/>
      <c r="P137" s="122"/>
      <c r="Q137" s="88"/>
      <c r="R137" s="89"/>
      <c r="S137" s="93"/>
    </row>
    <row r="138" spans="1:19" ht="30" customHeight="1" x14ac:dyDescent="0.25">
      <c r="A138" s="119"/>
      <c r="B138" s="121" t="s">
        <v>227</v>
      </c>
      <c r="C138" s="122"/>
      <c r="D138" s="122"/>
      <c r="E138" s="122"/>
      <c r="F138" s="122"/>
      <c r="G138" s="88"/>
      <c r="H138" s="89"/>
      <c r="I138" s="93"/>
      <c r="J138" s="41"/>
      <c r="K138" s="119"/>
      <c r="L138" s="121" t="s">
        <v>227</v>
      </c>
      <c r="M138" s="122"/>
      <c r="N138" s="122"/>
      <c r="O138" s="122"/>
      <c r="P138" s="122"/>
      <c r="Q138" s="88"/>
      <c r="R138" s="89"/>
      <c r="S138" s="93"/>
    </row>
    <row r="139" spans="1:19" ht="27.75" customHeight="1" x14ac:dyDescent="0.25">
      <c r="A139" s="119"/>
      <c r="B139" s="121" t="s">
        <v>228</v>
      </c>
      <c r="C139" s="122"/>
      <c r="D139" s="122"/>
      <c r="E139" s="122"/>
      <c r="F139" s="122"/>
      <c r="G139" s="88"/>
      <c r="H139" s="89"/>
      <c r="I139" s="93"/>
      <c r="J139" s="42"/>
      <c r="K139" s="119"/>
      <c r="L139" s="121" t="s">
        <v>228</v>
      </c>
      <c r="M139" s="122"/>
      <c r="N139" s="122"/>
      <c r="O139" s="122"/>
      <c r="P139" s="122"/>
      <c r="Q139" s="88"/>
      <c r="R139" s="89"/>
      <c r="S139" s="93"/>
    </row>
    <row r="140" spans="1:19" ht="51" customHeight="1" thickBot="1" x14ac:dyDescent="0.3">
      <c r="A140" s="120"/>
      <c r="B140" s="123" t="s">
        <v>234</v>
      </c>
      <c r="C140" s="124"/>
      <c r="D140" s="124"/>
      <c r="E140" s="124"/>
      <c r="F140" s="124"/>
      <c r="G140" s="90"/>
      <c r="H140" s="91"/>
      <c r="I140" s="94"/>
      <c r="J140" s="43"/>
      <c r="K140" s="120"/>
      <c r="L140" s="123" t="s">
        <v>234</v>
      </c>
      <c r="M140" s="124"/>
      <c r="N140" s="124"/>
      <c r="O140" s="124"/>
      <c r="P140" s="124"/>
      <c r="Q140" s="90"/>
      <c r="R140" s="91"/>
      <c r="S140" s="94"/>
    </row>
    <row r="141" spans="1:19" ht="1.5" customHeight="1" thickBot="1" x14ac:dyDescent="0.3">
      <c r="A141" s="15"/>
      <c r="B141" s="137" t="s">
        <v>248</v>
      </c>
      <c r="C141" s="138"/>
      <c r="D141" s="138"/>
      <c r="E141" s="138"/>
      <c r="F141" s="138"/>
      <c r="G141" s="139"/>
      <c r="H141" s="140"/>
      <c r="I141" s="16"/>
      <c r="J141" s="44"/>
      <c r="K141" s="15"/>
      <c r="L141" s="137" t="s">
        <v>248</v>
      </c>
      <c r="M141" s="138"/>
      <c r="N141" s="138"/>
      <c r="O141" s="138"/>
      <c r="P141" s="138"/>
      <c r="Q141" s="139"/>
      <c r="R141" s="140"/>
      <c r="S141" s="16"/>
    </row>
    <row r="142" spans="1:19" ht="36" hidden="1" customHeight="1" x14ac:dyDescent="0.25">
      <c r="A142" s="15"/>
      <c r="B142" s="137" t="s">
        <v>235</v>
      </c>
      <c r="C142" s="138"/>
      <c r="D142" s="138"/>
      <c r="E142" s="138"/>
      <c r="F142" s="138"/>
      <c r="G142" s="139"/>
      <c r="H142" s="140"/>
      <c r="I142" s="16"/>
      <c r="J142" s="40"/>
      <c r="K142" s="15"/>
      <c r="L142" s="137" t="s">
        <v>235</v>
      </c>
      <c r="M142" s="138"/>
      <c r="N142" s="138"/>
      <c r="O142" s="138"/>
      <c r="P142" s="138"/>
      <c r="Q142" s="139"/>
      <c r="R142" s="140"/>
      <c r="S142" s="16"/>
    </row>
    <row r="143" spans="1:19" ht="36" customHeight="1" thickBot="1" x14ac:dyDescent="0.3">
      <c r="A143" s="17"/>
      <c r="B143" s="78" t="s">
        <v>237</v>
      </c>
      <c r="C143" s="79"/>
      <c r="D143" s="79"/>
      <c r="E143" s="79"/>
      <c r="F143" s="79"/>
      <c r="G143" s="86">
        <v>19886</v>
      </c>
      <c r="H143" s="87"/>
      <c r="I143" s="108" t="s">
        <v>229</v>
      </c>
      <c r="J143" s="62"/>
      <c r="K143" s="17"/>
      <c r="L143" s="78" t="s">
        <v>237</v>
      </c>
      <c r="M143" s="79"/>
      <c r="N143" s="79"/>
      <c r="O143" s="79"/>
      <c r="P143" s="79"/>
      <c r="Q143" s="86">
        <v>10606</v>
      </c>
      <c r="R143" s="87"/>
      <c r="S143" s="108" t="s">
        <v>229</v>
      </c>
    </row>
    <row r="144" spans="1:19" ht="15.75" customHeight="1" thickBot="1" x14ac:dyDescent="0.3">
      <c r="A144" s="18"/>
      <c r="B144" s="110" t="s">
        <v>238</v>
      </c>
      <c r="C144" s="111"/>
      <c r="D144" s="111"/>
      <c r="E144" s="111"/>
      <c r="F144" s="111"/>
      <c r="G144" s="90"/>
      <c r="H144" s="91"/>
      <c r="I144" s="109"/>
      <c r="J144" s="46"/>
      <c r="K144" s="18"/>
      <c r="L144" s="110" t="s">
        <v>238</v>
      </c>
      <c r="M144" s="111"/>
      <c r="N144" s="111"/>
      <c r="O144" s="111"/>
      <c r="P144" s="111"/>
      <c r="Q144" s="90"/>
      <c r="R144" s="91"/>
      <c r="S144" s="109"/>
    </row>
    <row r="145" spans="1:19" ht="15.75" customHeight="1" thickBot="1" x14ac:dyDescent="0.3">
      <c r="A145" s="19"/>
      <c r="B145" s="112" t="s">
        <v>239</v>
      </c>
      <c r="C145" s="113"/>
      <c r="D145" s="113"/>
      <c r="E145" s="113"/>
      <c r="F145" s="113"/>
      <c r="G145" s="114">
        <f>SUM(G124:H144)</f>
        <v>122369.24720000001</v>
      </c>
      <c r="H145" s="115"/>
      <c r="I145" s="20"/>
      <c r="J145" s="47"/>
      <c r="K145" s="19"/>
      <c r="L145" s="112" t="s">
        <v>239</v>
      </c>
      <c r="M145" s="113"/>
      <c r="N145" s="113"/>
      <c r="O145" s="113"/>
      <c r="P145" s="113"/>
      <c r="Q145" s="114">
        <f>SUM(Q124:R144)</f>
        <v>44848.479999999996</v>
      </c>
      <c r="R145" s="115"/>
      <c r="S145" s="20"/>
    </row>
    <row r="146" spans="1:19" ht="26.25" customHeight="1" thickBot="1" x14ac:dyDescent="0.3">
      <c r="A146" s="21"/>
      <c r="B146" s="101" t="s">
        <v>240</v>
      </c>
      <c r="C146" s="102"/>
      <c r="D146" s="102"/>
      <c r="E146" s="102"/>
      <c r="F146" s="102"/>
      <c r="G146" s="116">
        <f>G145*1.2</f>
        <v>146843.09664</v>
      </c>
      <c r="H146" s="117"/>
      <c r="I146" s="22"/>
      <c r="J146" s="47"/>
      <c r="K146" s="21"/>
      <c r="L146" s="101" t="s">
        <v>240</v>
      </c>
      <c r="M146" s="102"/>
      <c r="N146" s="102"/>
      <c r="O146" s="102"/>
      <c r="P146" s="102"/>
      <c r="Q146" s="116">
        <f>Q145*1.2</f>
        <v>53818.175999999992</v>
      </c>
      <c r="R146" s="117"/>
      <c r="S146" s="22"/>
    </row>
    <row r="147" spans="1:19" ht="26.25" customHeight="1" thickBot="1" x14ac:dyDescent="0.3">
      <c r="A147" s="24"/>
      <c r="B147" s="96" t="s">
        <v>443</v>
      </c>
      <c r="C147" s="97"/>
      <c r="D147" s="97"/>
      <c r="E147" s="97"/>
      <c r="F147" s="97"/>
      <c r="G147" s="311">
        <v>146688.12</v>
      </c>
      <c r="H147" s="312"/>
      <c r="I147" s="313"/>
      <c r="J147" s="47"/>
      <c r="K147" s="24"/>
      <c r="L147" s="96" t="s">
        <v>443</v>
      </c>
      <c r="M147" s="97"/>
      <c r="N147" s="97"/>
      <c r="O147" s="97"/>
      <c r="P147" s="97"/>
      <c r="Q147" s="311">
        <v>52497.97</v>
      </c>
      <c r="R147" s="312"/>
      <c r="S147" s="313"/>
    </row>
    <row r="148" spans="1:19" ht="26.25" customHeight="1" thickBot="1" x14ac:dyDescent="0.3">
      <c r="A148" s="19"/>
      <c r="B148" s="101" t="s">
        <v>242</v>
      </c>
      <c r="C148" s="102"/>
      <c r="D148" s="102"/>
      <c r="E148" s="102"/>
      <c r="F148" s="102"/>
      <c r="G148" s="307">
        <v>142691.144</v>
      </c>
      <c r="H148" s="308"/>
      <c r="I148" s="309"/>
      <c r="J148" s="48"/>
      <c r="K148" s="19"/>
      <c r="L148" s="101" t="s">
        <v>242</v>
      </c>
      <c r="M148" s="102"/>
      <c r="N148" s="102"/>
      <c r="O148" s="102"/>
      <c r="P148" s="102"/>
      <c r="Q148" s="307">
        <v>54158.28</v>
      </c>
      <c r="R148" s="308"/>
      <c r="S148" s="309"/>
    </row>
    <row r="149" spans="1:19" ht="26.25" customHeight="1" thickBot="1" x14ac:dyDescent="0.3">
      <c r="A149" s="19"/>
      <c r="B149" s="106" t="s">
        <v>444</v>
      </c>
      <c r="C149" s="107"/>
      <c r="D149" s="107"/>
      <c r="E149" s="107"/>
      <c r="F149" s="107"/>
      <c r="G149" s="307">
        <v>55033.64</v>
      </c>
      <c r="H149" s="308"/>
      <c r="I149" s="309"/>
      <c r="J149" s="49"/>
      <c r="K149" s="19"/>
      <c r="L149" s="106" t="s">
        <v>444</v>
      </c>
      <c r="M149" s="107"/>
      <c r="N149" s="107"/>
      <c r="O149" s="107"/>
      <c r="P149" s="107"/>
      <c r="Q149" s="307">
        <v>4979.78</v>
      </c>
      <c r="R149" s="308"/>
      <c r="S149" s="309"/>
    </row>
    <row r="150" spans="1:19" ht="30.6" customHeight="1" x14ac:dyDescent="0.25">
      <c r="A150" s="4"/>
      <c r="B150" s="195" t="s">
        <v>665</v>
      </c>
      <c r="C150" s="195"/>
      <c r="D150" s="195"/>
      <c r="E150" s="195"/>
      <c r="F150" s="195"/>
      <c r="G150" s="195"/>
      <c r="H150" s="195"/>
      <c r="I150" s="195"/>
      <c r="K150" s="4"/>
      <c r="L150" s="367"/>
      <c r="M150" s="367"/>
      <c r="N150" s="367"/>
      <c r="O150" s="367"/>
      <c r="P150" s="367"/>
      <c r="Q150" s="367"/>
      <c r="R150" s="367"/>
      <c r="S150" s="367"/>
    </row>
    <row r="151" spans="1:19" x14ac:dyDescent="0.25">
      <c r="E151" s="50"/>
      <c r="I151" s="5"/>
      <c r="O151" s="50"/>
      <c r="S151" s="5"/>
    </row>
    <row r="152" spans="1:19" x14ac:dyDescent="0.25">
      <c r="A152" s="3"/>
      <c r="I152" s="5"/>
      <c r="K152" s="3"/>
      <c r="S152" s="5"/>
    </row>
    <row r="153" spans="1:19" ht="15.75" x14ac:dyDescent="0.25">
      <c r="A153" s="30"/>
      <c r="K153" s="30"/>
    </row>
    <row r="154" spans="1:19" ht="15.75" x14ac:dyDescent="0.25">
      <c r="A154" s="30"/>
      <c r="K154" s="30"/>
    </row>
    <row r="155" spans="1:19" x14ac:dyDescent="0.25">
      <c r="A155" s="3"/>
      <c r="B155" s="3"/>
      <c r="C155" s="3"/>
      <c r="D155" s="3"/>
      <c r="E155" s="4" t="s">
        <v>204</v>
      </c>
      <c r="F155" s="3"/>
      <c r="G155" s="3"/>
      <c r="H155" s="3"/>
      <c r="I155" s="3"/>
      <c r="K155" s="3"/>
      <c r="L155" s="3"/>
      <c r="M155" s="3"/>
      <c r="N155" s="3"/>
      <c r="O155" s="4" t="s">
        <v>204</v>
      </c>
      <c r="P155" s="3"/>
      <c r="Q155" s="3"/>
      <c r="R155" s="3"/>
      <c r="S155" s="3"/>
    </row>
    <row r="156" spans="1:19" x14ac:dyDescent="0.25">
      <c r="A156" s="3" t="s">
        <v>205</v>
      </c>
      <c r="B156" s="3"/>
      <c r="C156" s="3"/>
      <c r="D156" s="3" t="s">
        <v>425</v>
      </c>
      <c r="E156" s="3"/>
      <c r="F156" s="3"/>
      <c r="G156" s="3"/>
      <c r="H156" s="3"/>
      <c r="I156" s="3"/>
      <c r="K156" s="3" t="s">
        <v>205</v>
      </c>
      <c r="L156" s="3"/>
      <c r="M156" s="3"/>
      <c r="N156" s="3" t="s">
        <v>426</v>
      </c>
      <c r="O156" s="3"/>
      <c r="P156" s="3"/>
      <c r="Q156" s="3"/>
      <c r="R156" s="3"/>
      <c r="S156" s="3"/>
    </row>
    <row r="157" spans="1:19" ht="15.75" customHeight="1" x14ac:dyDescent="0.25">
      <c r="A157" s="3"/>
      <c r="B157" s="5" t="s">
        <v>440</v>
      </c>
      <c r="C157" s="3"/>
      <c r="D157" s="3"/>
      <c r="E157" s="3"/>
      <c r="F157" s="3"/>
      <c r="G157" s="3"/>
      <c r="H157" s="3"/>
      <c r="I157" s="3"/>
      <c r="K157" s="3"/>
      <c r="L157" s="5" t="s">
        <v>440</v>
      </c>
      <c r="M157" s="3"/>
      <c r="N157" s="3"/>
      <c r="O157" s="3"/>
      <c r="P157" s="3"/>
      <c r="Q157" s="3"/>
      <c r="R157" s="3"/>
      <c r="S157" s="3"/>
    </row>
    <row r="158" spans="1:19" ht="19.5" customHeight="1" thickBot="1" x14ac:dyDescent="0.3">
      <c r="A158" s="3"/>
      <c r="B158" s="5" t="s">
        <v>206</v>
      </c>
      <c r="C158" s="3"/>
      <c r="D158" s="3"/>
      <c r="E158" s="3"/>
      <c r="F158" s="3">
        <v>1292.5</v>
      </c>
      <c r="G158" s="3" t="s">
        <v>207</v>
      </c>
      <c r="H158" s="3"/>
      <c r="I158" s="3"/>
      <c r="J158" s="3"/>
      <c r="K158" s="3"/>
      <c r="L158" s="5" t="s">
        <v>206</v>
      </c>
      <c r="M158" s="3"/>
      <c r="N158" s="3"/>
      <c r="O158" s="3"/>
      <c r="P158" s="3">
        <v>375.3</v>
      </c>
      <c r="Q158" s="3" t="s">
        <v>207</v>
      </c>
      <c r="R158" s="3"/>
      <c r="S158" s="3"/>
    </row>
    <row r="159" spans="1:19" ht="59.25" customHeight="1" thickBot="1" x14ac:dyDescent="0.3">
      <c r="A159" s="175" t="s">
        <v>209</v>
      </c>
      <c r="B159" s="177" t="s">
        <v>210</v>
      </c>
      <c r="C159" s="178"/>
      <c r="D159" s="178"/>
      <c r="E159" s="178"/>
      <c r="F159" s="178"/>
      <c r="G159" s="180" t="s">
        <v>442</v>
      </c>
      <c r="H159" s="181"/>
      <c r="I159" s="175" t="s">
        <v>212</v>
      </c>
      <c r="J159" s="3"/>
      <c r="K159" s="175" t="s">
        <v>209</v>
      </c>
      <c r="L159" s="177" t="s">
        <v>210</v>
      </c>
      <c r="M159" s="178"/>
      <c r="N159" s="178"/>
      <c r="O159" s="178"/>
      <c r="P159" s="178"/>
      <c r="Q159" s="180" t="s">
        <v>442</v>
      </c>
      <c r="R159" s="181"/>
      <c r="S159" s="175" t="s">
        <v>212</v>
      </c>
    </row>
    <row r="160" spans="1:19" ht="15.75" hidden="1" customHeight="1" x14ac:dyDescent="0.25">
      <c r="A160" s="176"/>
      <c r="B160" s="179"/>
      <c r="C160" s="179"/>
      <c r="D160" s="179"/>
      <c r="E160" s="179"/>
      <c r="F160" s="179"/>
      <c r="G160" s="182"/>
      <c r="H160" s="183"/>
      <c r="I160" s="184"/>
      <c r="J160" s="31"/>
      <c r="K160" s="176"/>
      <c r="L160" s="179"/>
      <c r="M160" s="179"/>
      <c r="N160" s="179"/>
      <c r="O160" s="179"/>
      <c r="P160" s="179"/>
      <c r="Q160" s="182"/>
      <c r="R160" s="183"/>
      <c r="S160" s="184"/>
    </row>
    <row r="161" spans="1:19" ht="16.5" customHeight="1" thickBot="1" x14ac:dyDescent="0.3">
      <c r="A161" s="185" t="s">
        <v>213</v>
      </c>
      <c r="B161" s="187" t="s">
        <v>354</v>
      </c>
      <c r="C161" s="188"/>
      <c r="D161" s="188"/>
      <c r="E161" s="188"/>
      <c r="F161" s="188"/>
      <c r="G161" s="190">
        <v>10152.1</v>
      </c>
      <c r="H161" s="191"/>
      <c r="I161" s="192"/>
      <c r="J161" s="32"/>
      <c r="K161" s="185" t="s">
        <v>213</v>
      </c>
      <c r="L161" s="187" t="s">
        <v>354</v>
      </c>
      <c r="M161" s="188"/>
      <c r="N161" s="188"/>
      <c r="O161" s="188"/>
      <c r="P161" s="188"/>
      <c r="Q161" s="190">
        <v>6507.25</v>
      </c>
      <c r="R161" s="191"/>
      <c r="S161" s="192"/>
    </row>
    <row r="162" spans="1:19" ht="13.5" customHeight="1" thickBot="1" x14ac:dyDescent="0.3">
      <c r="A162" s="186"/>
      <c r="B162" s="189"/>
      <c r="C162" s="189"/>
      <c r="D162" s="189"/>
      <c r="E162" s="189"/>
      <c r="F162" s="189"/>
      <c r="G162" s="193"/>
      <c r="H162" s="194"/>
      <c r="I162" s="128"/>
      <c r="J162" s="33"/>
      <c r="K162" s="186"/>
      <c r="L162" s="189"/>
      <c r="M162" s="189"/>
      <c r="N162" s="189"/>
      <c r="O162" s="189"/>
      <c r="P162" s="189"/>
      <c r="Q162" s="193"/>
      <c r="R162" s="194"/>
      <c r="S162" s="128"/>
    </row>
    <row r="163" spans="1:19" ht="13.5" customHeight="1" x14ac:dyDescent="0.25">
      <c r="A163" s="6"/>
      <c r="B163" s="161" t="s">
        <v>214</v>
      </c>
      <c r="C163" s="162"/>
      <c r="D163" s="162"/>
      <c r="E163" s="162"/>
      <c r="F163" s="162"/>
      <c r="G163" s="163">
        <f>0.99*12*F158</f>
        <v>15354.899999999998</v>
      </c>
      <c r="H163" s="164"/>
      <c r="I163" s="169" t="s">
        <v>215</v>
      </c>
      <c r="J163" s="36"/>
      <c r="K163" s="6"/>
      <c r="L163" s="161" t="s">
        <v>214</v>
      </c>
      <c r="M163" s="162"/>
      <c r="N163" s="162"/>
      <c r="O163" s="162"/>
      <c r="P163" s="162"/>
      <c r="Q163" s="163">
        <f>0.9*12*P158</f>
        <v>4053.2400000000002</v>
      </c>
      <c r="R163" s="164"/>
      <c r="S163" s="169" t="s">
        <v>215</v>
      </c>
    </row>
    <row r="164" spans="1:19" ht="33.75" customHeight="1" thickBot="1" x14ac:dyDescent="0.3">
      <c r="A164" s="7"/>
      <c r="B164" s="171" t="s">
        <v>216</v>
      </c>
      <c r="C164" s="172"/>
      <c r="D164" s="172"/>
      <c r="E164" s="172"/>
      <c r="F164" s="172"/>
      <c r="G164" s="165"/>
      <c r="H164" s="166"/>
      <c r="I164" s="170"/>
      <c r="J164" s="35"/>
      <c r="K164" s="7"/>
      <c r="L164" s="171" t="s">
        <v>216</v>
      </c>
      <c r="M164" s="172"/>
      <c r="N164" s="172"/>
      <c r="O164" s="172"/>
      <c r="P164" s="172"/>
      <c r="Q164" s="165"/>
      <c r="R164" s="166"/>
      <c r="S164" s="170"/>
    </row>
    <row r="165" spans="1:19" ht="13.5" customHeight="1" thickBot="1" x14ac:dyDescent="0.3">
      <c r="A165" s="7"/>
      <c r="B165" s="173" t="s">
        <v>217</v>
      </c>
      <c r="C165" s="174"/>
      <c r="D165" s="174"/>
      <c r="E165" s="174"/>
      <c r="F165" s="174"/>
      <c r="G165" s="167"/>
      <c r="H165" s="168"/>
      <c r="I165" s="8" t="s">
        <v>218</v>
      </c>
      <c r="J165" s="36"/>
      <c r="K165" s="7"/>
      <c r="L165" s="173" t="s">
        <v>217</v>
      </c>
      <c r="M165" s="174"/>
      <c r="N165" s="174"/>
      <c r="O165" s="174"/>
      <c r="P165" s="174"/>
      <c r="Q165" s="167"/>
      <c r="R165" s="168"/>
      <c r="S165" s="8" t="s">
        <v>218</v>
      </c>
    </row>
    <row r="166" spans="1:19" ht="13.5" customHeight="1" thickBot="1" x14ac:dyDescent="0.3">
      <c r="A166" s="7"/>
      <c r="B166" s="141" t="s">
        <v>219</v>
      </c>
      <c r="C166" s="142"/>
      <c r="D166" s="142"/>
      <c r="E166" s="142"/>
      <c r="F166" s="142"/>
      <c r="G166" s="143">
        <v>0</v>
      </c>
      <c r="H166" s="144"/>
      <c r="I166" s="8" t="s">
        <v>220</v>
      </c>
      <c r="J166" s="36"/>
      <c r="K166" s="7"/>
      <c r="L166" s="141" t="s">
        <v>219</v>
      </c>
      <c r="M166" s="142"/>
      <c r="N166" s="142"/>
      <c r="O166" s="142"/>
      <c r="P166" s="142"/>
      <c r="Q166" s="143">
        <v>0</v>
      </c>
      <c r="R166" s="144"/>
      <c r="S166" s="8" t="s">
        <v>220</v>
      </c>
    </row>
    <row r="167" spans="1:19" ht="13.5" customHeight="1" thickBot="1" x14ac:dyDescent="0.3">
      <c r="A167" s="7"/>
      <c r="B167" s="141" t="s">
        <v>221</v>
      </c>
      <c r="C167" s="142"/>
      <c r="D167" s="142"/>
      <c r="E167" s="142"/>
      <c r="F167" s="142"/>
      <c r="G167" s="143">
        <f>0.3*12*F158</f>
        <v>4652.9999999999991</v>
      </c>
      <c r="H167" s="144"/>
      <c r="I167" s="8" t="s">
        <v>222</v>
      </c>
      <c r="J167" s="37"/>
      <c r="K167" s="7"/>
      <c r="L167" s="141" t="s">
        <v>221</v>
      </c>
      <c r="M167" s="142"/>
      <c r="N167" s="142"/>
      <c r="O167" s="142"/>
      <c r="P167" s="142"/>
      <c r="Q167" s="143">
        <f>0.2*12*P158</f>
        <v>900.72000000000014</v>
      </c>
      <c r="R167" s="144"/>
      <c r="S167" s="8" t="s">
        <v>222</v>
      </c>
    </row>
    <row r="168" spans="1:19" ht="13.5" customHeight="1" x14ac:dyDescent="0.25">
      <c r="A168" s="9"/>
      <c r="B168" s="145" t="s">
        <v>223</v>
      </c>
      <c r="C168" s="146"/>
      <c r="D168" s="146"/>
      <c r="E168" s="146"/>
      <c r="F168" s="146"/>
      <c r="G168" s="86">
        <f>1.25*12*F158</f>
        <v>19387.5</v>
      </c>
      <c r="H168" s="147"/>
      <c r="I168" s="152" t="s">
        <v>224</v>
      </c>
      <c r="J168" s="38"/>
      <c r="K168" s="9"/>
      <c r="L168" s="145" t="s">
        <v>223</v>
      </c>
      <c r="M168" s="146"/>
      <c r="N168" s="146"/>
      <c r="O168" s="146"/>
      <c r="P168" s="146"/>
      <c r="Q168" s="86">
        <f>1.11*12*P158</f>
        <v>4998.9960000000001</v>
      </c>
      <c r="R168" s="147"/>
      <c r="S168" s="152" t="s">
        <v>224</v>
      </c>
    </row>
    <row r="169" spans="1:19" ht="13.5" customHeight="1" x14ac:dyDescent="0.25">
      <c r="A169" s="10"/>
      <c r="B169" s="155" t="s">
        <v>226</v>
      </c>
      <c r="C169" s="156"/>
      <c r="D169" s="156"/>
      <c r="E169" s="156"/>
      <c r="F169" s="156"/>
      <c r="G169" s="148"/>
      <c r="H169" s="149"/>
      <c r="I169" s="153"/>
      <c r="J169" s="38"/>
      <c r="K169" s="10"/>
      <c r="L169" s="155" t="s">
        <v>226</v>
      </c>
      <c r="M169" s="156"/>
      <c r="N169" s="156"/>
      <c r="O169" s="156"/>
      <c r="P169" s="156"/>
      <c r="Q169" s="148"/>
      <c r="R169" s="149"/>
      <c r="S169" s="153"/>
    </row>
    <row r="170" spans="1:19" ht="13.5" customHeight="1" thickBot="1" x14ac:dyDescent="0.3">
      <c r="A170" s="10"/>
      <c r="B170" s="157" t="s">
        <v>227</v>
      </c>
      <c r="C170" s="158"/>
      <c r="D170" s="158"/>
      <c r="E170" s="158"/>
      <c r="F170" s="158"/>
      <c r="G170" s="148"/>
      <c r="H170" s="149"/>
      <c r="I170" s="154"/>
      <c r="J170" s="39"/>
      <c r="K170" s="10"/>
      <c r="L170" s="157" t="s">
        <v>227</v>
      </c>
      <c r="M170" s="158"/>
      <c r="N170" s="158"/>
      <c r="O170" s="158"/>
      <c r="P170" s="158"/>
      <c r="Q170" s="148"/>
      <c r="R170" s="149"/>
      <c r="S170" s="154"/>
    </row>
    <row r="171" spans="1:19" ht="13.5" customHeight="1" thickBot="1" x14ac:dyDescent="0.3">
      <c r="A171" s="10"/>
      <c r="B171" s="159" t="s">
        <v>228</v>
      </c>
      <c r="C171" s="160"/>
      <c r="D171" s="160"/>
      <c r="E171" s="160"/>
      <c r="F171" s="160"/>
      <c r="G171" s="150"/>
      <c r="H171" s="151"/>
      <c r="I171" s="11" t="s">
        <v>229</v>
      </c>
      <c r="J171" s="36"/>
      <c r="K171" s="10"/>
      <c r="L171" s="159" t="s">
        <v>228</v>
      </c>
      <c r="M171" s="160"/>
      <c r="N171" s="160"/>
      <c r="O171" s="160"/>
      <c r="P171" s="160"/>
      <c r="Q171" s="150"/>
      <c r="R171" s="151"/>
      <c r="S171" s="11" t="s">
        <v>229</v>
      </c>
    </row>
    <row r="172" spans="1:19" ht="15.75" customHeight="1" x14ac:dyDescent="0.25">
      <c r="A172" s="12"/>
      <c r="B172" s="125" t="s">
        <v>230</v>
      </c>
      <c r="C172" s="126"/>
      <c r="D172" s="126"/>
      <c r="E172" s="126"/>
      <c r="F172" s="126"/>
      <c r="G172" s="86">
        <f>0.04*12*F158</f>
        <v>620.4</v>
      </c>
      <c r="H172" s="87"/>
      <c r="I172" s="129" t="s">
        <v>220</v>
      </c>
      <c r="J172" s="36"/>
      <c r="K172" s="12"/>
      <c r="L172" s="125" t="s">
        <v>230</v>
      </c>
      <c r="M172" s="126"/>
      <c r="N172" s="126"/>
      <c r="O172" s="126"/>
      <c r="P172" s="126"/>
      <c r="Q172" s="86">
        <v>0</v>
      </c>
      <c r="R172" s="87"/>
      <c r="S172" s="129" t="s">
        <v>220</v>
      </c>
    </row>
    <row r="173" spans="1:19" ht="15.75" customHeight="1" thickBot="1" x14ac:dyDescent="0.3">
      <c r="A173" s="7"/>
      <c r="B173" s="131" t="s">
        <v>231</v>
      </c>
      <c r="C173" s="132"/>
      <c r="D173" s="132"/>
      <c r="E173" s="132"/>
      <c r="F173" s="132"/>
      <c r="G173" s="127"/>
      <c r="H173" s="128"/>
      <c r="I173" s="130"/>
      <c r="J173" s="36"/>
      <c r="K173" s="7"/>
      <c r="L173" s="131" t="s">
        <v>231</v>
      </c>
      <c r="M173" s="132"/>
      <c r="N173" s="132"/>
      <c r="O173" s="132"/>
      <c r="P173" s="132"/>
      <c r="Q173" s="127"/>
      <c r="R173" s="128"/>
      <c r="S173" s="130"/>
    </row>
    <row r="174" spans="1:19" ht="15.75" customHeight="1" thickBot="1" x14ac:dyDescent="0.3">
      <c r="A174" s="13"/>
      <c r="B174" s="133" t="s">
        <v>232</v>
      </c>
      <c r="C174" s="134"/>
      <c r="D174" s="134"/>
      <c r="E174" s="134"/>
      <c r="F174" s="134"/>
      <c r="G174" s="135"/>
      <c r="H174" s="136"/>
      <c r="I174" s="14"/>
      <c r="J174" s="36"/>
      <c r="K174" s="13"/>
      <c r="L174" s="133" t="s">
        <v>232</v>
      </c>
      <c r="M174" s="134"/>
      <c r="N174" s="134"/>
      <c r="O174" s="134"/>
      <c r="P174" s="134"/>
      <c r="Q174" s="135"/>
      <c r="R174" s="136"/>
      <c r="S174" s="14"/>
    </row>
    <row r="175" spans="1:19" ht="27.75" customHeight="1" thickBot="1" x14ac:dyDescent="0.3">
      <c r="A175" s="13"/>
      <c r="B175" s="84" t="s">
        <v>233</v>
      </c>
      <c r="C175" s="85"/>
      <c r="D175" s="85"/>
      <c r="E175" s="85"/>
      <c r="F175" s="85"/>
      <c r="G175" s="86">
        <f>0.91*12*F158</f>
        <v>14114.1</v>
      </c>
      <c r="H175" s="87"/>
      <c r="I175" s="320" t="s">
        <v>668</v>
      </c>
      <c r="J175" s="41"/>
      <c r="K175" s="13"/>
      <c r="L175" s="84" t="s">
        <v>233</v>
      </c>
      <c r="M175" s="85"/>
      <c r="N175" s="85"/>
      <c r="O175" s="85"/>
      <c r="P175" s="85"/>
      <c r="Q175" s="86">
        <f>1.07*12*P158</f>
        <v>4818.8519999999999</v>
      </c>
      <c r="R175" s="87"/>
      <c r="S175" s="320" t="s">
        <v>669</v>
      </c>
    </row>
    <row r="176" spans="1:19" ht="26.25" customHeight="1" x14ac:dyDescent="0.25">
      <c r="A176" s="118"/>
      <c r="B176" s="121" t="s">
        <v>226</v>
      </c>
      <c r="C176" s="122"/>
      <c r="D176" s="122"/>
      <c r="E176" s="122"/>
      <c r="F176" s="122"/>
      <c r="G176" s="88"/>
      <c r="H176" s="89"/>
      <c r="I176" s="321"/>
      <c r="J176" s="41"/>
      <c r="K176" s="118"/>
      <c r="L176" s="121" t="s">
        <v>226</v>
      </c>
      <c r="M176" s="122"/>
      <c r="N176" s="122"/>
      <c r="O176" s="122"/>
      <c r="P176" s="122"/>
      <c r="Q176" s="88"/>
      <c r="R176" s="89"/>
      <c r="S176" s="321"/>
    </row>
    <row r="177" spans="1:20" ht="29.25" customHeight="1" x14ac:dyDescent="0.25">
      <c r="A177" s="119"/>
      <c r="B177" s="121" t="s">
        <v>227</v>
      </c>
      <c r="C177" s="122"/>
      <c r="D177" s="122"/>
      <c r="E177" s="122"/>
      <c r="F177" s="122"/>
      <c r="G177" s="88"/>
      <c r="H177" s="89"/>
      <c r="I177" s="321"/>
      <c r="J177" s="41"/>
      <c r="K177" s="119"/>
      <c r="L177" s="121" t="s">
        <v>227</v>
      </c>
      <c r="M177" s="122"/>
      <c r="N177" s="122"/>
      <c r="O177" s="122"/>
      <c r="P177" s="122"/>
      <c r="Q177" s="88"/>
      <c r="R177" s="89"/>
      <c r="S177" s="321"/>
    </row>
    <row r="178" spans="1:20" ht="29.25" customHeight="1" x14ac:dyDescent="0.25">
      <c r="A178" s="119"/>
      <c r="B178" s="121" t="s">
        <v>228</v>
      </c>
      <c r="C178" s="122"/>
      <c r="D178" s="122"/>
      <c r="E178" s="122"/>
      <c r="F178" s="122"/>
      <c r="G178" s="88"/>
      <c r="H178" s="89"/>
      <c r="I178" s="321"/>
      <c r="J178" s="41"/>
      <c r="K178" s="119"/>
      <c r="L178" s="121" t="s">
        <v>228</v>
      </c>
      <c r="M178" s="122"/>
      <c r="N178" s="122"/>
      <c r="O178" s="122"/>
      <c r="P178" s="122"/>
      <c r="Q178" s="88"/>
      <c r="R178" s="89"/>
      <c r="S178" s="321"/>
    </row>
    <row r="179" spans="1:20" ht="35.25" customHeight="1" thickBot="1" x14ac:dyDescent="0.3">
      <c r="A179" s="120"/>
      <c r="B179" s="123" t="s">
        <v>234</v>
      </c>
      <c r="C179" s="124"/>
      <c r="D179" s="124"/>
      <c r="E179" s="124"/>
      <c r="F179" s="124"/>
      <c r="G179" s="90"/>
      <c r="H179" s="91"/>
      <c r="I179" s="322"/>
      <c r="J179" s="42"/>
      <c r="K179" s="120"/>
      <c r="L179" s="123" t="s">
        <v>234</v>
      </c>
      <c r="M179" s="124"/>
      <c r="N179" s="124"/>
      <c r="O179" s="124"/>
      <c r="P179" s="124"/>
      <c r="Q179" s="90"/>
      <c r="R179" s="91"/>
      <c r="S179" s="322"/>
    </row>
    <row r="180" spans="1:20" ht="0.75" hidden="1" customHeight="1" x14ac:dyDescent="0.25">
      <c r="A180" s="15"/>
      <c r="B180" s="137" t="s">
        <v>248</v>
      </c>
      <c r="C180" s="138"/>
      <c r="D180" s="138"/>
      <c r="E180" s="138"/>
      <c r="F180" s="138"/>
      <c r="G180" s="139"/>
      <c r="H180" s="140"/>
      <c r="I180" s="16"/>
      <c r="J180" s="43"/>
      <c r="K180" s="15"/>
      <c r="L180" s="137" t="s">
        <v>248</v>
      </c>
      <c r="M180" s="138"/>
      <c r="N180" s="138"/>
      <c r="O180" s="138"/>
      <c r="P180" s="138"/>
      <c r="Q180" s="139"/>
      <c r="R180" s="140"/>
      <c r="S180" s="16"/>
    </row>
    <row r="181" spans="1:20" ht="34.5" hidden="1" customHeight="1" x14ac:dyDescent="0.25">
      <c r="A181" s="15"/>
      <c r="B181" s="137" t="s">
        <v>235</v>
      </c>
      <c r="C181" s="138"/>
      <c r="D181" s="138"/>
      <c r="E181" s="138"/>
      <c r="F181" s="138"/>
      <c r="G181" s="139"/>
      <c r="H181" s="140"/>
      <c r="I181" s="16"/>
      <c r="J181" s="44"/>
      <c r="K181" s="15"/>
      <c r="L181" s="137" t="s">
        <v>235</v>
      </c>
      <c r="M181" s="138"/>
      <c r="N181" s="138"/>
      <c r="O181" s="138"/>
      <c r="P181" s="138"/>
      <c r="Q181" s="139"/>
      <c r="R181" s="140"/>
      <c r="S181" s="16"/>
    </row>
    <row r="182" spans="1:20" ht="34.5" customHeight="1" thickBot="1" x14ac:dyDescent="0.3">
      <c r="A182" s="17"/>
      <c r="B182" s="78" t="s">
        <v>237</v>
      </c>
      <c r="C182" s="79"/>
      <c r="D182" s="79"/>
      <c r="E182" s="79"/>
      <c r="F182" s="79"/>
      <c r="G182" s="86">
        <v>15909</v>
      </c>
      <c r="H182" s="87"/>
      <c r="I182" s="108" t="s">
        <v>229</v>
      </c>
      <c r="J182" s="40"/>
      <c r="K182" s="17"/>
      <c r="L182" s="78" t="s">
        <v>237</v>
      </c>
      <c r="M182" s="79"/>
      <c r="N182" s="79"/>
      <c r="O182" s="79"/>
      <c r="P182" s="79"/>
      <c r="Q182" s="86">
        <v>7955</v>
      </c>
      <c r="R182" s="87"/>
      <c r="S182" s="108" t="s">
        <v>229</v>
      </c>
    </row>
    <row r="183" spans="1:20" ht="15.75" customHeight="1" thickBot="1" x14ac:dyDescent="0.3">
      <c r="A183" s="18"/>
      <c r="B183" s="110" t="s">
        <v>238</v>
      </c>
      <c r="C183" s="111"/>
      <c r="D183" s="111"/>
      <c r="E183" s="111"/>
      <c r="F183" s="111"/>
      <c r="G183" s="90"/>
      <c r="H183" s="91"/>
      <c r="I183" s="109"/>
      <c r="J183" s="45"/>
      <c r="K183" s="18"/>
      <c r="L183" s="110" t="s">
        <v>238</v>
      </c>
      <c r="M183" s="111"/>
      <c r="N183" s="111"/>
      <c r="O183" s="111"/>
      <c r="P183" s="111"/>
      <c r="Q183" s="90"/>
      <c r="R183" s="91"/>
      <c r="S183" s="109"/>
    </row>
    <row r="184" spans="1:20" ht="19.5" customHeight="1" thickBot="1" x14ac:dyDescent="0.3">
      <c r="A184" s="19"/>
      <c r="B184" s="112" t="s">
        <v>239</v>
      </c>
      <c r="C184" s="113"/>
      <c r="D184" s="113"/>
      <c r="E184" s="113"/>
      <c r="F184" s="113"/>
      <c r="G184" s="114">
        <f>SUM(G163:H183)</f>
        <v>70038.899999999994</v>
      </c>
      <c r="H184" s="115"/>
      <c r="I184" s="20"/>
      <c r="J184" s="46"/>
      <c r="K184" s="19"/>
      <c r="L184" s="112" t="s">
        <v>239</v>
      </c>
      <c r="M184" s="113"/>
      <c r="N184" s="113"/>
      <c r="O184" s="113"/>
      <c r="P184" s="113"/>
      <c r="Q184" s="114">
        <f>SUM(Q163:R183)</f>
        <v>22726.808000000001</v>
      </c>
      <c r="R184" s="115"/>
      <c r="S184" s="20"/>
    </row>
    <row r="185" spans="1:20" ht="19.5" customHeight="1" thickBot="1" x14ac:dyDescent="0.3">
      <c r="A185" s="21"/>
      <c r="B185" s="101" t="s">
        <v>240</v>
      </c>
      <c r="C185" s="102"/>
      <c r="D185" s="102"/>
      <c r="E185" s="102"/>
      <c r="F185" s="102"/>
      <c r="G185" s="116">
        <f>G184*1.2</f>
        <v>84046.68</v>
      </c>
      <c r="H185" s="117"/>
      <c r="I185" s="22"/>
      <c r="J185" s="47"/>
      <c r="K185" s="21"/>
      <c r="L185" s="101" t="s">
        <v>240</v>
      </c>
      <c r="M185" s="102"/>
      <c r="N185" s="102"/>
      <c r="O185" s="102"/>
      <c r="P185" s="102"/>
      <c r="Q185" s="116">
        <f>Q184*1.2</f>
        <v>27272.169600000001</v>
      </c>
      <c r="R185" s="117"/>
      <c r="S185" s="22"/>
    </row>
    <row r="186" spans="1:20" ht="19.5" customHeight="1" thickBot="1" x14ac:dyDescent="0.3">
      <c r="A186" s="24"/>
      <c r="B186" s="96" t="s">
        <v>443</v>
      </c>
      <c r="C186" s="97"/>
      <c r="D186" s="97"/>
      <c r="E186" s="97"/>
      <c r="F186" s="97"/>
      <c r="G186" s="311">
        <v>83383.8</v>
      </c>
      <c r="H186" s="312"/>
      <c r="I186" s="313"/>
      <c r="J186" s="47"/>
      <c r="K186" s="24"/>
      <c r="L186" s="96" t="s">
        <v>443</v>
      </c>
      <c r="M186" s="97"/>
      <c r="N186" s="97"/>
      <c r="O186" s="97"/>
      <c r="P186" s="97"/>
      <c r="Q186" s="311">
        <v>27292.05</v>
      </c>
      <c r="R186" s="312"/>
      <c r="S186" s="313"/>
    </row>
    <row r="187" spans="1:20" ht="19.5" customHeight="1" thickBot="1" x14ac:dyDescent="0.3">
      <c r="A187" s="19"/>
      <c r="B187" s="101" t="s">
        <v>242</v>
      </c>
      <c r="C187" s="102"/>
      <c r="D187" s="102"/>
      <c r="E187" s="102"/>
      <c r="F187" s="102"/>
      <c r="G187" s="307">
        <v>58919.87</v>
      </c>
      <c r="H187" s="308"/>
      <c r="I187" s="309"/>
      <c r="J187" s="47"/>
      <c r="K187" s="19"/>
      <c r="L187" s="101" t="s">
        <v>242</v>
      </c>
      <c r="M187" s="102"/>
      <c r="N187" s="102"/>
      <c r="O187" s="102"/>
      <c r="P187" s="102"/>
      <c r="Q187" s="307">
        <v>29040.61</v>
      </c>
      <c r="R187" s="308"/>
      <c r="S187" s="309"/>
    </row>
    <row r="188" spans="1:20" ht="19.5" customHeight="1" thickBot="1" x14ac:dyDescent="0.3">
      <c r="A188" s="19"/>
      <c r="B188" s="106" t="s">
        <v>444</v>
      </c>
      <c r="C188" s="107"/>
      <c r="D188" s="107"/>
      <c r="E188" s="107"/>
      <c r="F188" s="107"/>
      <c r="G188" s="307">
        <v>7616.03</v>
      </c>
      <c r="H188" s="308"/>
      <c r="I188" s="309"/>
      <c r="J188" s="47"/>
      <c r="K188" s="19"/>
      <c r="L188" s="106" t="s">
        <v>444</v>
      </c>
      <c r="M188" s="107"/>
      <c r="N188" s="107"/>
      <c r="O188" s="107"/>
      <c r="P188" s="107"/>
      <c r="Q188" s="307">
        <v>4758.6899999999996</v>
      </c>
      <c r="R188" s="308"/>
      <c r="S188" s="309"/>
    </row>
    <row r="189" spans="1:20" x14ac:dyDescent="0.25">
      <c r="B189" s="365"/>
      <c r="C189" s="162"/>
      <c r="D189" s="162"/>
      <c r="E189" s="162"/>
      <c r="F189" s="162"/>
      <c r="G189" s="162"/>
      <c r="H189" s="162"/>
      <c r="I189" s="162"/>
      <c r="O189" s="50"/>
      <c r="S189" s="5"/>
      <c r="T189" s="76"/>
    </row>
    <row r="190" spans="1:20" ht="15.75" x14ac:dyDescent="0.25">
      <c r="A190" s="30"/>
      <c r="B190" s="366"/>
      <c r="C190" s="366"/>
      <c r="D190" s="366"/>
      <c r="E190" s="366"/>
      <c r="F190" s="366"/>
      <c r="G190" s="366"/>
      <c r="H190" s="366"/>
      <c r="I190" s="366"/>
      <c r="K190" s="30"/>
      <c r="N190" s="30"/>
    </row>
    <row r="191" spans="1:20" ht="15.75" x14ac:dyDescent="0.25">
      <c r="A191" s="30"/>
      <c r="C191" s="30"/>
      <c r="K191" s="30"/>
      <c r="N191" s="30"/>
    </row>
    <row r="192" spans="1:20" ht="15.75" x14ac:dyDescent="0.25">
      <c r="A192" s="30"/>
      <c r="C192" s="30"/>
      <c r="K192" s="30"/>
      <c r="N192" s="30"/>
    </row>
    <row r="193" spans="1:19" x14ac:dyDescent="0.25">
      <c r="A193" s="3"/>
      <c r="B193" s="3"/>
      <c r="C193" s="3"/>
      <c r="D193" s="3"/>
      <c r="E193" s="4" t="s">
        <v>204</v>
      </c>
      <c r="F193" s="3"/>
      <c r="G193" s="3"/>
      <c r="H193" s="3"/>
      <c r="I193" s="3"/>
      <c r="K193" s="3"/>
      <c r="L193" s="3"/>
      <c r="M193" s="3"/>
      <c r="N193" s="3"/>
      <c r="O193" s="4" t="s">
        <v>204</v>
      </c>
      <c r="P193" s="3"/>
      <c r="Q193" s="3"/>
      <c r="R193" s="3"/>
      <c r="S193" s="3"/>
    </row>
    <row r="194" spans="1:19" x14ac:dyDescent="0.25">
      <c r="A194" s="3" t="s">
        <v>205</v>
      </c>
      <c r="B194" s="3"/>
      <c r="C194" s="3"/>
      <c r="D194" s="3" t="s">
        <v>427</v>
      </c>
      <c r="E194" s="3"/>
      <c r="F194" s="3"/>
      <c r="G194" s="3"/>
      <c r="H194" s="3"/>
      <c r="I194" s="3"/>
      <c r="K194" s="3" t="s">
        <v>205</v>
      </c>
      <c r="L194" s="3"/>
      <c r="M194" s="3"/>
      <c r="N194" s="3" t="s">
        <v>428</v>
      </c>
      <c r="O194" s="3"/>
      <c r="P194" s="3"/>
      <c r="Q194" s="3"/>
      <c r="R194" s="3"/>
      <c r="S194" s="3"/>
    </row>
    <row r="195" spans="1:19" ht="15" customHeight="1" x14ac:dyDescent="0.25">
      <c r="A195" s="3"/>
      <c r="B195" s="5" t="s">
        <v>440</v>
      </c>
      <c r="C195" s="3"/>
      <c r="D195" s="3"/>
      <c r="E195" s="3"/>
      <c r="F195" s="3"/>
      <c r="G195" s="3"/>
      <c r="H195" s="3"/>
      <c r="I195" s="3"/>
      <c r="K195" s="3"/>
      <c r="L195" s="5" t="s">
        <v>440</v>
      </c>
      <c r="M195" s="3"/>
      <c r="N195" s="3"/>
      <c r="O195" s="3"/>
      <c r="P195" s="3"/>
      <c r="Q195" s="3"/>
      <c r="R195" s="3"/>
      <c r="S195" s="3"/>
    </row>
    <row r="196" spans="1:19" ht="17.25" customHeight="1" x14ac:dyDescent="0.25">
      <c r="A196" s="3"/>
      <c r="B196" s="5" t="s">
        <v>206</v>
      </c>
      <c r="C196" s="3"/>
      <c r="D196" s="3"/>
      <c r="E196" s="3"/>
      <c r="F196" s="3">
        <v>393.1</v>
      </c>
      <c r="G196" s="3" t="s">
        <v>207</v>
      </c>
      <c r="H196" s="3"/>
      <c r="I196" s="3"/>
      <c r="K196" s="3"/>
      <c r="L196" s="5" t="s">
        <v>206</v>
      </c>
      <c r="M196" s="3"/>
      <c r="N196" s="3"/>
      <c r="O196" s="3"/>
      <c r="P196" s="3">
        <v>375</v>
      </c>
      <c r="Q196" s="3" t="s">
        <v>207</v>
      </c>
      <c r="R196" s="3"/>
      <c r="S196" s="3"/>
    </row>
    <row r="197" spans="1:19" ht="15" customHeight="1" thickBot="1" x14ac:dyDescent="0.3">
      <c r="A197" s="3"/>
      <c r="B197" s="3"/>
      <c r="C197" s="3"/>
      <c r="D197" s="4"/>
      <c r="E197" s="4"/>
      <c r="F197" s="3"/>
      <c r="G197" s="3"/>
      <c r="H197" s="3"/>
      <c r="I197" s="3"/>
      <c r="J197" s="3"/>
      <c r="K197" s="3"/>
      <c r="L197" s="3"/>
      <c r="M197" s="3"/>
      <c r="N197" s="4"/>
      <c r="O197" s="4"/>
      <c r="P197" s="3"/>
      <c r="Q197" s="3"/>
      <c r="R197" s="3"/>
      <c r="S197" s="3"/>
    </row>
    <row r="198" spans="1:19" ht="8.25" customHeight="1" x14ac:dyDescent="0.25">
      <c r="A198" s="175" t="s">
        <v>209</v>
      </c>
      <c r="B198" s="177" t="s">
        <v>210</v>
      </c>
      <c r="C198" s="178"/>
      <c r="D198" s="178"/>
      <c r="E198" s="178"/>
      <c r="F198" s="178"/>
      <c r="G198" s="180" t="s">
        <v>442</v>
      </c>
      <c r="H198" s="181"/>
      <c r="I198" s="175" t="s">
        <v>212</v>
      </c>
      <c r="J198" s="3"/>
      <c r="K198" s="175" t="s">
        <v>209</v>
      </c>
      <c r="L198" s="177" t="s">
        <v>210</v>
      </c>
      <c r="M198" s="178"/>
      <c r="N198" s="178"/>
      <c r="O198" s="178"/>
      <c r="P198" s="178"/>
      <c r="Q198" s="180" t="s">
        <v>442</v>
      </c>
      <c r="R198" s="181"/>
      <c r="S198" s="175" t="s">
        <v>212</v>
      </c>
    </row>
    <row r="199" spans="1:19" ht="60.75" customHeight="1" thickBot="1" x14ac:dyDescent="0.3">
      <c r="A199" s="176"/>
      <c r="B199" s="179"/>
      <c r="C199" s="179"/>
      <c r="D199" s="179"/>
      <c r="E199" s="179"/>
      <c r="F199" s="179"/>
      <c r="G199" s="182"/>
      <c r="H199" s="183"/>
      <c r="I199" s="184"/>
      <c r="J199" s="3"/>
      <c r="K199" s="176"/>
      <c r="L199" s="179"/>
      <c r="M199" s="179"/>
      <c r="N199" s="179"/>
      <c r="O199" s="179"/>
      <c r="P199" s="179"/>
      <c r="Q199" s="182"/>
      <c r="R199" s="183"/>
      <c r="S199" s="184"/>
    </row>
    <row r="200" spans="1:19" ht="13.5" customHeight="1" x14ac:dyDescent="0.25">
      <c r="A200" s="185" t="s">
        <v>213</v>
      </c>
      <c r="B200" s="187" t="s">
        <v>354</v>
      </c>
      <c r="C200" s="188"/>
      <c r="D200" s="188"/>
      <c r="E200" s="188"/>
      <c r="F200" s="188"/>
      <c r="G200" s="190">
        <v>4469.97</v>
      </c>
      <c r="H200" s="191"/>
      <c r="I200" s="192"/>
      <c r="J200" s="51"/>
      <c r="K200" s="185" t="s">
        <v>213</v>
      </c>
      <c r="L200" s="187" t="s">
        <v>354</v>
      </c>
      <c r="M200" s="188"/>
      <c r="N200" s="188"/>
      <c r="O200" s="188"/>
      <c r="P200" s="188"/>
      <c r="Q200" s="190">
        <v>1049.4100000000001</v>
      </c>
      <c r="R200" s="191"/>
      <c r="S200" s="192"/>
    </row>
    <row r="201" spans="1:19" ht="13.5" customHeight="1" thickBot="1" x14ac:dyDescent="0.3">
      <c r="A201" s="186"/>
      <c r="B201" s="189"/>
      <c r="C201" s="189"/>
      <c r="D201" s="189"/>
      <c r="E201" s="189"/>
      <c r="F201" s="189"/>
      <c r="G201" s="193"/>
      <c r="H201" s="194"/>
      <c r="I201" s="128"/>
      <c r="J201" s="52"/>
      <c r="K201" s="186"/>
      <c r="L201" s="189"/>
      <c r="M201" s="189"/>
      <c r="N201" s="189"/>
      <c r="O201" s="189"/>
      <c r="P201" s="189"/>
      <c r="Q201" s="193"/>
      <c r="R201" s="194"/>
      <c r="S201" s="128"/>
    </row>
    <row r="202" spans="1:19" ht="13.5" customHeight="1" x14ac:dyDescent="0.25">
      <c r="A202" s="6"/>
      <c r="B202" s="161" t="s">
        <v>214</v>
      </c>
      <c r="C202" s="162"/>
      <c r="D202" s="162"/>
      <c r="E202" s="162"/>
      <c r="F202" s="162"/>
      <c r="G202" s="163">
        <f>0.7*12*F196</f>
        <v>3302.0399999999995</v>
      </c>
      <c r="H202" s="164"/>
      <c r="I202" s="169" t="s">
        <v>215</v>
      </c>
      <c r="J202" s="63"/>
      <c r="K202" s="6"/>
      <c r="L202" s="161" t="s">
        <v>214</v>
      </c>
      <c r="M202" s="162"/>
      <c r="N202" s="162"/>
      <c r="O202" s="162"/>
      <c r="P202" s="162"/>
      <c r="Q202" s="163">
        <f>1.35*12*P196</f>
        <v>6075.0000000000009</v>
      </c>
      <c r="R202" s="164"/>
      <c r="S202" s="169" t="s">
        <v>215</v>
      </c>
    </row>
    <row r="203" spans="1:19" ht="31.5" customHeight="1" thickBot="1" x14ac:dyDescent="0.3">
      <c r="A203" s="7"/>
      <c r="B203" s="171" t="s">
        <v>216</v>
      </c>
      <c r="C203" s="172"/>
      <c r="D203" s="172"/>
      <c r="E203" s="172"/>
      <c r="F203" s="172"/>
      <c r="G203" s="165"/>
      <c r="H203" s="166"/>
      <c r="I203" s="170"/>
      <c r="J203" s="43"/>
      <c r="K203" s="7"/>
      <c r="L203" s="171" t="s">
        <v>216</v>
      </c>
      <c r="M203" s="172"/>
      <c r="N203" s="172"/>
      <c r="O203" s="172"/>
      <c r="P203" s="172"/>
      <c r="Q203" s="165"/>
      <c r="R203" s="166"/>
      <c r="S203" s="170"/>
    </row>
    <row r="204" spans="1:19" ht="13.5" customHeight="1" thickBot="1" x14ac:dyDescent="0.3">
      <c r="A204" s="7"/>
      <c r="B204" s="173" t="s">
        <v>217</v>
      </c>
      <c r="C204" s="174"/>
      <c r="D204" s="174"/>
      <c r="E204" s="174"/>
      <c r="F204" s="174"/>
      <c r="G204" s="167"/>
      <c r="H204" s="168"/>
      <c r="I204" s="8" t="s">
        <v>218</v>
      </c>
      <c r="J204" s="42"/>
      <c r="K204" s="7"/>
      <c r="L204" s="173" t="s">
        <v>217</v>
      </c>
      <c r="M204" s="174"/>
      <c r="N204" s="174"/>
      <c r="O204" s="174"/>
      <c r="P204" s="174"/>
      <c r="Q204" s="167"/>
      <c r="R204" s="168"/>
      <c r="S204" s="8" t="s">
        <v>218</v>
      </c>
    </row>
    <row r="205" spans="1:19" ht="13.5" customHeight="1" thickBot="1" x14ac:dyDescent="0.3">
      <c r="A205" s="7"/>
      <c r="B205" s="141" t="s">
        <v>219</v>
      </c>
      <c r="C205" s="142"/>
      <c r="D205" s="142"/>
      <c r="E205" s="142"/>
      <c r="F205" s="142"/>
      <c r="G205" s="143">
        <v>0</v>
      </c>
      <c r="H205" s="144"/>
      <c r="I205" s="8" t="s">
        <v>220</v>
      </c>
      <c r="J205" s="43"/>
      <c r="K205" s="7"/>
      <c r="L205" s="141" t="s">
        <v>219</v>
      </c>
      <c r="M205" s="142"/>
      <c r="N205" s="142"/>
      <c r="O205" s="142"/>
      <c r="P205" s="142"/>
      <c r="Q205" s="143">
        <v>0</v>
      </c>
      <c r="R205" s="144"/>
      <c r="S205" s="8" t="s">
        <v>220</v>
      </c>
    </row>
    <row r="206" spans="1:19" ht="13.5" customHeight="1" thickBot="1" x14ac:dyDescent="0.3">
      <c r="A206" s="7"/>
      <c r="B206" s="141" t="s">
        <v>221</v>
      </c>
      <c r="C206" s="142"/>
      <c r="D206" s="142"/>
      <c r="E206" s="142"/>
      <c r="F206" s="142"/>
      <c r="G206" s="143">
        <f>0.15*12*F196</f>
        <v>707.57999999999993</v>
      </c>
      <c r="H206" s="144"/>
      <c r="I206" s="8" t="s">
        <v>222</v>
      </c>
      <c r="J206" s="55"/>
      <c r="K206" s="7"/>
      <c r="L206" s="141" t="s">
        <v>221</v>
      </c>
      <c r="M206" s="142"/>
      <c r="N206" s="142"/>
      <c r="O206" s="142"/>
      <c r="P206" s="142"/>
      <c r="Q206" s="143">
        <f>0.3*12*P196</f>
        <v>1349.9999999999998</v>
      </c>
      <c r="R206" s="144"/>
      <c r="S206" s="8" t="s">
        <v>222</v>
      </c>
    </row>
    <row r="207" spans="1:19" ht="13.5" customHeight="1" x14ac:dyDescent="0.25">
      <c r="A207" s="9"/>
      <c r="B207" s="145" t="s">
        <v>223</v>
      </c>
      <c r="C207" s="146"/>
      <c r="D207" s="146"/>
      <c r="E207" s="146"/>
      <c r="F207" s="146"/>
      <c r="G207" s="86">
        <f>1.45*12*F196</f>
        <v>6839.94</v>
      </c>
      <c r="H207" s="147"/>
      <c r="I207" s="152" t="s">
        <v>224</v>
      </c>
      <c r="J207" s="56"/>
      <c r="K207" s="9"/>
      <c r="L207" s="145" t="s">
        <v>223</v>
      </c>
      <c r="M207" s="146"/>
      <c r="N207" s="146"/>
      <c r="O207" s="146"/>
      <c r="P207" s="146"/>
      <c r="Q207" s="86">
        <f>1.69*12*P196</f>
        <v>7605</v>
      </c>
      <c r="R207" s="147"/>
      <c r="S207" s="152" t="s">
        <v>224</v>
      </c>
    </row>
    <row r="208" spans="1:19" ht="13.5" customHeight="1" x14ac:dyDescent="0.25">
      <c r="A208" s="10"/>
      <c r="B208" s="155" t="s">
        <v>226</v>
      </c>
      <c r="C208" s="156"/>
      <c r="D208" s="156"/>
      <c r="E208" s="156"/>
      <c r="F208" s="156"/>
      <c r="G208" s="148"/>
      <c r="H208" s="149"/>
      <c r="I208" s="153"/>
      <c r="J208" s="56"/>
      <c r="K208" s="10"/>
      <c r="L208" s="155" t="s">
        <v>226</v>
      </c>
      <c r="M208" s="156"/>
      <c r="N208" s="156"/>
      <c r="O208" s="156"/>
      <c r="P208" s="156"/>
      <c r="Q208" s="148"/>
      <c r="R208" s="149"/>
      <c r="S208" s="153"/>
    </row>
    <row r="209" spans="1:19" ht="13.5" customHeight="1" thickBot="1" x14ac:dyDescent="0.3">
      <c r="A209" s="10"/>
      <c r="B209" s="157" t="s">
        <v>227</v>
      </c>
      <c r="C209" s="158"/>
      <c r="D209" s="158"/>
      <c r="E209" s="158"/>
      <c r="F209" s="158"/>
      <c r="G209" s="148"/>
      <c r="H209" s="149"/>
      <c r="I209" s="154"/>
      <c r="J209" s="56"/>
      <c r="K209" s="10"/>
      <c r="L209" s="157" t="s">
        <v>227</v>
      </c>
      <c r="M209" s="158"/>
      <c r="N209" s="158"/>
      <c r="O209" s="158"/>
      <c r="P209" s="158"/>
      <c r="Q209" s="148"/>
      <c r="R209" s="149"/>
      <c r="S209" s="154"/>
    </row>
    <row r="210" spans="1:19" ht="15.75" customHeight="1" thickBot="1" x14ac:dyDescent="0.3">
      <c r="A210" s="10"/>
      <c r="B210" s="159" t="s">
        <v>228</v>
      </c>
      <c r="C210" s="160"/>
      <c r="D210" s="160"/>
      <c r="E210" s="160"/>
      <c r="F210" s="160"/>
      <c r="G210" s="150"/>
      <c r="H210" s="151"/>
      <c r="I210" s="11" t="s">
        <v>229</v>
      </c>
      <c r="J210" s="57"/>
      <c r="K210" s="10"/>
      <c r="L210" s="159" t="s">
        <v>228</v>
      </c>
      <c r="M210" s="160"/>
      <c r="N210" s="160"/>
      <c r="O210" s="160"/>
      <c r="P210" s="160"/>
      <c r="Q210" s="150"/>
      <c r="R210" s="151"/>
      <c r="S210" s="11" t="s">
        <v>229</v>
      </c>
    </row>
    <row r="211" spans="1:19" ht="15.75" customHeight="1" x14ac:dyDescent="0.25">
      <c r="A211" s="12"/>
      <c r="B211" s="125" t="s">
        <v>230</v>
      </c>
      <c r="C211" s="126"/>
      <c r="D211" s="126"/>
      <c r="E211" s="126"/>
      <c r="F211" s="126"/>
      <c r="G211" s="86">
        <v>0</v>
      </c>
      <c r="H211" s="87"/>
      <c r="I211" s="129" t="s">
        <v>220</v>
      </c>
      <c r="J211" s="43"/>
      <c r="K211" s="12"/>
      <c r="L211" s="125" t="s">
        <v>230</v>
      </c>
      <c r="M211" s="126"/>
      <c r="N211" s="126"/>
      <c r="O211" s="126"/>
      <c r="P211" s="126"/>
      <c r="Q211" s="86">
        <v>0</v>
      </c>
      <c r="R211" s="87"/>
      <c r="S211" s="129" t="s">
        <v>220</v>
      </c>
    </row>
    <row r="212" spans="1:19" ht="15.75" customHeight="1" thickBot="1" x14ac:dyDescent="0.3">
      <c r="A212" s="7"/>
      <c r="B212" s="131" t="s">
        <v>231</v>
      </c>
      <c r="C212" s="132"/>
      <c r="D212" s="132"/>
      <c r="E212" s="132"/>
      <c r="F212" s="132"/>
      <c r="G212" s="127"/>
      <c r="H212" s="128"/>
      <c r="I212" s="130"/>
      <c r="J212" s="43"/>
      <c r="K212" s="7"/>
      <c r="L212" s="131" t="s">
        <v>231</v>
      </c>
      <c r="M212" s="132"/>
      <c r="N212" s="132"/>
      <c r="O212" s="132"/>
      <c r="P212" s="132"/>
      <c r="Q212" s="127"/>
      <c r="R212" s="128"/>
      <c r="S212" s="130"/>
    </row>
    <row r="213" spans="1:19" ht="15.75" thickBot="1" x14ac:dyDescent="0.3">
      <c r="A213" s="13"/>
      <c r="B213" s="133" t="s">
        <v>232</v>
      </c>
      <c r="C213" s="134"/>
      <c r="D213" s="134"/>
      <c r="E213" s="134"/>
      <c r="F213" s="134"/>
      <c r="G213" s="135"/>
      <c r="H213" s="136"/>
      <c r="I213" s="14"/>
      <c r="J213" s="43"/>
      <c r="K213" s="13"/>
      <c r="L213" s="133" t="s">
        <v>232</v>
      </c>
      <c r="M213" s="134"/>
      <c r="N213" s="134"/>
      <c r="O213" s="134"/>
      <c r="P213" s="134"/>
      <c r="Q213" s="135"/>
      <c r="R213" s="136"/>
      <c r="S213" s="14"/>
    </row>
    <row r="214" spans="1:19" ht="15" customHeight="1" thickBot="1" x14ac:dyDescent="0.3">
      <c r="A214" s="13"/>
      <c r="B214" s="84" t="s">
        <v>233</v>
      </c>
      <c r="C214" s="85"/>
      <c r="D214" s="85"/>
      <c r="E214" s="85"/>
      <c r="F214" s="85"/>
      <c r="G214" s="86">
        <f>1*12*F196</f>
        <v>4717.2000000000007</v>
      </c>
      <c r="H214" s="87"/>
      <c r="I214" s="92" t="s">
        <v>670</v>
      </c>
      <c r="J214" s="58"/>
      <c r="K214" s="13"/>
      <c r="L214" s="84" t="s">
        <v>233</v>
      </c>
      <c r="M214" s="85"/>
      <c r="N214" s="85"/>
      <c r="O214" s="85"/>
      <c r="P214" s="85"/>
      <c r="Q214" s="86">
        <f>1.55*12*P196</f>
        <v>6975.0000000000009</v>
      </c>
      <c r="R214" s="87"/>
      <c r="S214" s="320" t="s">
        <v>671</v>
      </c>
    </row>
    <row r="215" spans="1:19" ht="15.75" customHeight="1" x14ac:dyDescent="0.25">
      <c r="A215" s="118"/>
      <c r="B215" s="121" t="s">
        <v>226</v>
      </c>
      <c r="C215" s="122"/>
      <c r="D215" s="122"/>
      <c r="E215" s="122"/>
      <c r="F215" s="122"/>
      <c r="G215" s="88"/>
      <c r="H215" s="89"/>
      <c r="I215" s="93"/>
      <c r="J215" s="41"/>
      <c r="K215" s="118"/>
      <c r="L215" s="121" t="s">
        <v>226</v>
      </c>
      <c r="M215" s="122"/>
      <c r="N215" s="122"/>
      <c r="O215" s="122"/>
      <c r="P215" s="122"/>
      <c r="Q215" s="88"/>
      <c r="R215" s="89"/>
      <c r="S215" s="321"/>
    </row>
    <row r="216" spans="1:19" ht="28.5" customHeight="1" x14ac:dyDescent="0.25">
      <c r="A216" s="119"/>
      <c r="B216" s="121" t="s">
        <v>227</v>
      </c>
      <c r="C216" s="122"/>
      <c r="D216" s="122"/>
      <c r="E216" s="122"/>
      <c r="F216" s="122"/>
      <c r="G216" s="88"/>
      <c r="H216" s="89"/>
      <c r="I216" s="93"/>
      <c r="J216" s="41"/>
      <c r="K216" s="119"/>
      <c r="L216" s="121" t="s">
        <v>227</v>
      </c>
      <c r="M216" s="122"/>
      <c r="N216" s="122"/>
      <c r="O216" s="122"/>
      <c r="P216" s="122"/>
      <c r="Q216" s="88"/>
      <c r="R216" s="89"/>
      <c r="S216" s="321"/>
    </row>
    <row r="217" spans="1:19" ht="15" customHeight="1" x14ac:dyDescent="0.25">
      <c r="A217" s="119"/>
      <c r="B217" s="121" t="s">
        <v>228</v>
      </c>
      <c r="C217" s="122"/>
      <c r="D217" s="122"/>
      <c r="E217" s="122"/>
      <c r="F217" s="122"/>
      <c r="G217" s="88"/>
      <c r="H217" s="89"/>
      <c r="I217" s="93"/>
      <c r="J217" s="41"/>
      <c r="K217" s="119"/>
      <c r="L217" s="121" t="s">
        <v>228</v>
      </c>
      <c r="M217" s="122"/>
      <c r="N217" s="122"/>
      <c r="O217" s="122"/>
      <c r="P217" s="122"/>
      <c r="Q217" s="88"/>
      <c r="R217" s="89"/>
      <c r="S217" s="321"/>
    </row>
    <row r="218" spans="1:19" ht="42" customHeight="1" thickBot="1" x14ac:dyDescent="0.3">
      <c r="A218" s="120"/>
      <c r="B218" s="123" t="s">
        <v>234</v>
      </c>
      <c r="C218" s="124"/>
      <c r="D218" s="124"/>
      <c r="E218" s="124"/>
      <c r="F218" s="124"/>
      <c r="G218" s="90"/>
      <c r="H218" s="91"/>
      <c r="I218" s="94"/>
      <c r="J218" s="41"/>
      <c r="K218" s="120"/>
      <c r="L218" s="123" t="s">
        <v>234</v>
      </c>
      <c r="M218" s="124"/>
      <c r="N218" s="124"/>
      <c r="O218" s="124"/>
      <c r="P218" s="124"/>
      <c r="Q218" s="90"/>
      <c r="R218" s="91"/>
      <c r="S218" s="322"/>
    </row>
    <row r="219" spans="1:19" ht="26.25" hidden="1" customHeight="1" x14ac:dyDescent="0.25">
      <c r="A219" s="15"/>
      <c r="B219" s="137" t="s">
        <v>248</v>
      </c>
      <c r="C219" s="138"/>
      <c r="D219" s="138"/>
      <c r="E219" s="138"/>
      <c r="F219" s="138"/>
      <c r="G219" s="139"/>
      <c r="H219" s="140"/>
      <c r="I219" s="16"/>
      <c r="J219" s="42"/>
      <c r="K219" s="15"/>
      <c r="L219" s="137" t="s">
        <v>248</v>
      </c>
      <c r="M219" s="138"/>
      <c r="N219" s="138"/>
      <c r="O219" s="138"/>
      <c r="P219" s="138"/>
      <c r="Q219" s="139"/>
      <c r="R219" s="140"/>
      <c r="S219" s="16"/>
    </row>
    <row r="220" spans="1:19" ht="0.75" customHeight="1" thickBot="1" x14ac:dyDescent="0.3">
      <c r="A220" s="15"/>
      <c r="B220" s="137" t="s">
        <v>235</v>
      </c>
      <c r="C220" s="138"/>
      <c r="D220" s="138"/>
      <c r="E220" s="138"/>
      <c r="F220" s="138"/>
      <c r="G220" s="139"/>
      <c r="H220" s="140"/>
      <c r="I220" s="16"/>
      <c r="J220" s="43"/>
      <c r="K220" s="15"/>
      <c r="L220" s="137" t="s">
        <v>235</v>
      </c>
      <c r="M220" s="138"/>
      <c r="N220" s="138"/>
      <c r="O220" s="138"/>
      <c r="P220" s="138"/>
      <c r="Q220" s="139"/>
      <c r="R220" s="140"/>
      <c r="S220" s="16"/>
    </row>
    <row r="221" spans="1:19" ht="34.5" customHeight="1" thickBot="1" x14ac:dyDescent="0.3">
      <c r="A221" s="17"/>
      <c r="B221" s="78" t="s">
        <v>237</v>
      </c>
      <c r="C221" s="79"/>
      <c r="D221" s="79"/>
      <c r="E221" s="79"/>
      <c r="F221" s="79"/>
      <c r="G221" s="86">
        <v>5965</v>
      </c>
      <c r="H221" s="87"/>
      <c r="I221" s="108" t="s">
        <v>229</v>
      </c>
      <c r="J221" s="59"/>
      <c r="K221" s="17"/>
      <c r="L221" s="78" t="s">
        <v>237</v>
      </c>
      <c r="M221" s="79"/>
      <c r="N221" s="79"/>
      <c r="O221" s="79"/>
      <c r="P221" s="79"/>
      <c r="Q221" s="86">
        <v>957</v>
      </c>
      <c r="R221" s="87"/>
      <c r="S221" s="108" t="s">
        <v>229</v>
      </c>
    </row>
    <row r="222" spans="1:19" ht="15.75" customHeight="1" thickBot="1" x14ac:dyDescent="0.3">
      <c r="A222" s="18"/>
      <c r="B222" s="110" t="s">
        <v>238</v>
      </c>
      <c r="C222" s="111"/>
      <c r="D222" s="111"/>
      <c r="E222" s="111"/>
      <c r="F222" s="111"/>
      <c r="G222" s="90"/>
      <c r="H222" s="91"/>
      <c r="I222" s="109"/>
      <c r="J222" s="59"/>
      <c r="K222" s="18"/>
      <c r="L222" s="110" t="s">
        <v>238</v>
      </c>
      <c r="M222" s="111"/>
      <c r="N222" s="111"/>
      <c r="O222" s="111"/>
      <c r="P222" s="111"/>
      <c r="Q222" s="90"/>
      <c r="R222" s="91"/>
      <c r="S222" s="109"/>
    </row>
    <row r="223" spans="1:19" ht="15.75" thickBot="1" x14ac:dyDescent="0.3">
      <c r="A223" s="19"/>
      <c r="B223" s="112" t="s">
        <v>239</v>
      </c>
      <c r="C223" s="113"/>
      <c r="D223" s="113"/>
      <c r="E223" s="113"/>
      <c r="F223" s="113"/>
      <c r="G223" s="114">
        <f>SUM(G202:H222)</f>
        <v>21531.760000000002</v>
      </c>
      <c r="H223" s="115"/>
      <c r="I223" s="20"/>
      <c r="J223" s="58"/>
      <c r="K223" s="19"/>
      <c r="L223" s="112" t="s">
        <v>239</v>
      </c>
      <c r="M223" s="113"/>
      <c r="N223" s="113"/>
      <c r="O223" s="113"/>
      <c r="P223" s="113"/>
      <c r="Q223" s="114">
        <f>SUM(Q202:R222)</f>
        <v>22962</v>
      </c>
      <c r="R223" s="115"/>
      <c r="S223" s="20"/>
    </row>
    <row r="224" spans="1:19" ht="21.75" customHeight="1" thickBot="1" x14ac:dyDescent="0.3">
      <c r="A224" s="21"/>
      <c r="B224" s="101" t="s">
        <v>240</v>
      </c>
      <c r="C224" s="102"/>
      <c r="D224" s="102"/>
      <c r="E224" s="102"/>
      <c r="F224" s="102"/>
      <c r="G224" s="116">
        <f>G223*1.2</f>
        <v>25838.112000000001</v>
      </c>
      <c r="H224" s="117"/>
      <c r="I224" s="22"/>
      <c r="J224" s="45"/>
      <c r="K224" s="21"/>
      <c r="L224" s="101" t="s">
        <v>240</v>
      </c>
      <c r="M224" s="102"/>
      <c r="N224" s="102"/>
      <c r="O224" s="102"/>
      <c r="P224" s="102"/>
      <c r="Q224" s="116">
        <f>Q223*1.2</f>
        <v>27554.399999999998</v>
      </c>
      <c r="R224" s="117"/>
      <c r="S224" s="22"/>
    </row>
    <row r="225" spans="1:19" ht="21.75" customHeight="1" thickBot="1" x14ac:dyDescent="0.3">
      <c r="A225" s="24"/>
      <c r="B225" s="96" t="s">
        <v>443</v>
      </c>
      <c r="C225" s="97"/>
      <c r="D225" s="97"/>
      <c r="E225" s="97"/>
      <c r="F225" s="97"/>
      <c r="G225" s="311">
        <v>24157.68</v>
      </c>
      <c r="H225" s="312"/>
      <c r="I225" s="313"/>
      <c r="J225" s="41"/>
      <c r="K225" s="24"/>
      <c r="L225" s="96" t="s">
        <v>443</v>
      </c>
      <c r="M225" s="97"/>
      <c r="N225" s="97"/>
      <c r="O225" s="97"/>
      <c r="P225" s="97"/>
      <c r="Q225" s="311">
        <v>27157.599999999999</v>
      </c>
      <c r="R225" s="312"/>
      <c r="S225" s="313"/>
    </row>
    <row r="226" spans="1:19" ht="21.75" customHeight="1" thickBot="1" x14ac:dyDescent="0.3">
      <c r="A226" s="19"/>
      <c r="B226" s="101" t="s">
        <v>242</v>
      </c>
      <c r="C226" s="102"/>
      <c r="D226" s="102"/>
      <c r="E226" s="102"/>
      <c r="F226" s="102"/>
      <c r="G226" s="307">
        <v>25282.63</v>
      </c>
      <c r="H226" s="308"/>
      <c r="I226" s="309"/>
      <c r="J226" s="41"/>
      <c r="K226" s="19"/>
      <c r="L226" s="101" t="s">
        <v>242</v>
      </c>
      <c r="M226" s="102"/>
      <c r="N226" s="102"/>
      <c r="O226" s="102"/>
      <c r="P226" s="102"/>
      <c r="Q226" s="307">
        <v>27142.54</v>
      </c>
      <c r="R226" s="308"/>
      <c r="S226" s="309"/>
    </row>
    <row r="227" spans="1:19" ht="21.75" customHeight="1" thickBot="1" x14ac:dyDescent="0.3">
      <c r="A227" s="19"/>
      <c r="B227" s="106" t="s">
        <v>444</v>
      </c>
      <c r="C227" s="107"/>
      <c r="D227" s="107"/>
      <c r="E227" s="107"/>
      <c r="F227" s="107"/>
      <c r="G227" s="307">
        <v>3345.02</v>
      </c>
      <c r="H227" s="308"/>
      <c r="I227" s="309"/>
      <c r="J227" s="64"/>
      <c r="K227" s="19"/>
      <c r="L227" s="106" t="s">
        <v>444</v>
      </c>
      <c r="M227" s="107"/>
      <c r="N227" s="107"/>
      <c r="O227" s="107"/>
      <c r="P227" s="107"/>
      <c r="Q227" s="307">
        <v>1064.47</v>
      </c>
      <c r="R227" s="308"/>
      <c r="S227" s="309"/>
    </row>
    <row r="228" spans="1:19" x14ac:dyDescent="0.25">
      <c r="E228" s="50"/>
      <c r="I228" s="5"/>
      <c r="O228" s="50"/>
      <c r="S228" s="5"/>
    </row>
    <row r="229" spans="1:19" ht="15.75" x14ac:dyDescent="0.25">
      <c r="A229" s="30"/>
      <c r="C229" s="30"/>
    </row>
    <row r="230" spans="1:19" ht="15.75" x14ac:dyDescent="0.25">
      <c r="C230" s="30"/>
    </row>
    <row r="232" spans="1:19" x14ac:dyDescent="0.25">
      <c r="A232" s="3"/>
      <c r="B232" s="3"/>
      <c r="C232" s="3"/>
      <c r="D232" s="3"/>
      <c r="E232" s="4" t="s">
        <v>204</v>
      </c>
      <c r="F232" s="3"/>
      <c r="G232" s="3"/>
      <c r="H232" s="3"/>
      <c r="I232" s="3"/>
      <c r="K232" s="3"/>
      <c r="L232" s="3"/>
      <c r="M232" s="3"/>
      <c r="N232" s="3"/>
      <c r="O232" s="4" t="s">
        <v>204</v>
      </c>
      <c r="P232" s="3"/>
      <c r="Q232" s="3"/>
      <c r="R232" s="3"/>
      <c r="S232" s="3"/>
    </row>
    <row r="233" spans="1:19" ht="15" customHeight="1" x14ac:dyDescent="0.25">
      <c r="A233" s="3" t="s">
        <v>205</v>
      </c>
      <c r="B233" s="3"/>
      <c r="C233" s="3"/>
      <c r="D233" s="3" t="s">
        <v>429</v>
      </c>
      <c r="E233" s="3"/>
      <c r="F233" s="3"/>
      <c r="G233" s="3"/>
      <c r="H233" s="3"/>
      <c r="I233" s="3"/>
      <c r="K233" s="3" t="s">
        <v>205</v>
      </c>
      <c r="L233" s="3"/>
      <c r="M233" s="3"/>
      <c r="N233" s="3" t="s">
        <v>430</v>
      </c>
      <c r="O233" s="3"/>
      <c r="P233" s="3"/>
      <c r="Q233" s="3"/>
      <c r="R233" s="3"/>
      <c r="S233" s="3"/>
    </row>
    <row r="234" spans="1:19" ht="18.75" customHeight="1" x14ac:dyDescent="0.25">
      <c r="A234" s="3"/>
      <c r="B234" s="5" t="s">
        <v>440</v>
      </c>
      <c r="C234" s="3"/>
      <c r="D234" s="3"/>
      <c r="E234" s="3"/>
      <c r="F234" s="3"/>
      <c r="G234" s="3"/>
      <c r="H234" s="3"/>
      <c r="I234" s="3"/>
      <c r="K234" s="3"/>
      <c r="L234" s="5" t="s">
        <v>440</v>
      </c>
      <c r="M234" s="3"/>
      <c r="N234" s="3"/>
      <c r="O234" s="3"/>
      <c r="P234" s="3"/>
      <c r="Q234" s="3"/>
      <c r="R234" s="3"/>
      <c r="S234" s="3"/>
    </row>
    <row r="235" spans="1:19" ht="15" customHeight="1" x14ac:dyDescent="0.25">
      <c r="A235" s="3"/>
      <c r="B235" s="5" t="s">
        <v>206</v>
      </c>
      <c r="C235" s="3"/>
      <c r="D235" s="3"/>
      <c r="E235" s="3"/>
      <c r="F235" s="3">
        <v>91.9</v>
      </c>
      <c r="G235" s="3" t="s">
        <v>207</v>
      </c>
      <c r="H235" s="3"/>
      <c r="I235" s="3"/>
      <c r="K235" s="3"/>
      <c r="L235" s="5" t="s">
        <v>206</v>
      </c>
      <c r="M235" s="3"/>
      <c r="N235" s="3"/>
      <c r="O235" s="3"/>
      <c r="P235" s="3">
        <v>2487</v>
      </c>
      <c r="Q235" s="3" t="s">
        <v>207</v>
      </c>
      <c r="R235" s="3"/>
      <c r="S235" s="3"/>
    </row>
    <row r="236" spans="1:19" ht="15.75" thickBot="1" x14ac:dyDescent="0.3">
      <c r="A236" s="3"/>
      <c r="B236" s="3"/>
      <c r="C236" s="3"/>
      <c r="D236" s="4"/>
      <c r="E236" s="4"/>
      <c r="F236" s="3"/>
      <c r="G236" s="3"/>
      <c r="H236" s="3"/>
      <c r="I236" s="3"/>
      <c r="K236" s="3"/>
      <c r="L236" s="3"/>
      <c r="M236" s="3"/>
      <c r="N236" s="4"/>
      <c r="O236" s="4"/>
      <c r="P236" s="3"/>
      <c r="Q236" s="3"/>
      <c r="R236" s="3"/>
      <c r="S236" s="3"/>
    </row>
    <row r="237" spans="1:19" ht="15" customHeight="1" x14ac:dyDescent="0.25">
      <c r="A237" s="175" t="s">
        <v>209</v>
      </c>
      <c r="B237" s="177" t="s">
        <v>210</v>
      </c>
      <c r="C237" s="178"/>
      <c r="D237" s="178"/>
      <c r="E237" s="178"/>
      <c r="F237" s="178"/>
      <c r="G237" s="180" t="s">
        <v>442</v>
      </c>
      <c r="H237" s="181"/>
      <c r="I237" s="175" t="s">
        <v>212</v>
      </c>
      <c r="K237" s="175" t="s">
        <v>209</v>
      </c>
      <c r="L237" s="177" t="s">
        <v>210</v>
      </c>
      <c r="M237" s="178"/>
      <c r="N237" s="178"/>
      <c r="O237" s="178"/>
      <c r="P237" s="178"/>
      <c r="Q237" s="180" t="s">
        <v>442</v>
      </c>
      <c r="R237" s="181"/>
      <c r="S237" s="175" t="s">
        <v>212</v>
      </c>
    </row>
    <row r="238" spans="1:19" ht="46.5" customHeight="1" thickBot="1" x14ac:dyDescent="0.3">
      <c r="A238" s="176"/>
      <c r="B238" s="179"/>
      <c r="C238" s="179"/>
      <c r="D238" s="179"/>
      <c r="E238" s="179"/>
      <c r="F238" s="179"/>
      <c r="G238" s="182"/>
      <c r="H238" s="183"/>
      <c r="I238" s="184"/>
      <c r="K238" s="176"/>
      <c r="L238" s="179"/>
      <c r="M238" s="179"/>
      <c r="N238" s="179"/>
      <c r="O238" s="179"/>
      <c r="P238" s="179"/>
      <c r="Q238" s="182"/>
      <c r="R238" s="183"/>
      <c r="S238" s="184"/>
    </row>
    <row r="239" spans="1:19" ht="15.75" customHeight="1" x14ac:dyDescent="0.25">
      <c r="A239" s="185" t="s">
        <v>213</v>
      </c>
      <c r="B239" s="187" t="s">
        <v>354</v>
      </c>
      <c r="C239" s="188"/>
      <c r="D239" s="188"/>
      <c r="E239" s="188"/>
      <c r="F239" s="188"/>
      <c r="G239" s="190">
        <v>875.06</v>
      </c>
      <c r="H239" s="191"/>
      <c r="I239" s="192"/>
      <c r="K239" s="185" t="s">
        <v>213</v>
      </c>
      <c r="L239" s="187" t="s">
        <v>354</v>
      </c>
      <c r="M239" s="188"/>
      <c r="N239" s="188"/>
      <c r="O239" s="188"/>
      <c r="P239" s="188"/>
      <c r="Q239" s="190">
        <v>67817.070000000007</v>
      </c>
      <c r="R239" s="191"/>
      <c r="S239" s="192"/>
    </row>
    <row r="240" spans="1:19" ht="15.75" customHeight="1" thickBot="1" x14ac:dyDescent="0.3">
      <c r="A240" s="186"/>
      <c r="B240" s="189"/>
      <c r="C240" s="189"/>
      <c r="D240" s="189"/>
      <c r="E240" s="189"/>
      <c r="F240" s="189"/>
      <c r="G240" s="193"/>
      <c r="H240" s="194"/>
      <c r="I240" s="128"/>
      <c r="K240" s="186"/>
      <c r="L240" s="189"/>
      <c r="M240" s="189"/>
      <c r="N240" s="189"/>
      <c r="O240" s="189"/>
      <c r="P240" s="189"/>
      <c r="Q240" s="193"/>
      <c r="R240" s="194"/>
      <c r="S240" s="128"/>
    </row>
    <row r="241" spans="1:19" ht="15.75" customHeight="1" x14ac:dyDescent="0.25">
      <c r="A241" s="6"/>
      <c r="B241" s="161" t="s">
        <v>214</v>
      </c>
      <c r="C241" s="162"/>
      <c r="D241" s="162"/>
      <c r="E241" s="162"/>
      <c r="F241" s="162"/>
      <c r="G241" s="163">
        <f>0.34*12*F235</f>
        <v>374.95200000000006</v>
      </c>
      <c r="H241" s="164"/>
      <c r="I241" s="169" t="s">
        <v>215</v>
      </c>
      <c r="K241" s="6"/>
      <c r="L241" s="161" t="s">
        <v>214</v>
      </c>
      <c r="M241" s="162"/>
      <c r="N241" s="162"/>
      <c r="O241" s="162"/>
      <c r="P241" s="162"/>
      <c r="Q241" s="163">
        <f>2.29*12*P235</f>
        <v>68342.759999999995</v>
      </c>
      <c r="R241" s="164"/>
      <c r="S241" s="169" t="s">
        <v>215</v>
      </c>
    </row>
    <row r="242" spans="1:19" ht="29.25" customHeight="1" thickBot="1" x14ac:dyDescent="0.3">
      <c r="A242" s="7"/>
      <c r="B242" s="171" t="s">
        <v>216</v>
      </c>
      <c r="C242" s="172"/>
      <c r="D242" s="172"/>
      <c r="E242" s="172"/>
      <c r="F242" s="172"/>
      <c r="G242" s="165"/>
      <c r="H242" s="166"/>
      <c r="I242" s="170"/>
      <c r="K242" s="7"/>
      <c r="L242" s="171" t="s">
        <v>216</v>
      </c>
      <c r="M242" s="172"/>
      <c r="N242" s="172"/>
      <c r="O242" s="172"/>
      <c r="P242" s="172"/>
      <c r="Q242" s="165"/>
      <c r="R242" s="166"/>
      <c r="S242" s="170"/>
    </row>
    <row r="243" spans="1:19" ht="15.75" thickBot="1" x14ac:dyDescent="0.3">
      <c r="A243" s="7"/>
      <c r="B243" s="173" t="s">
        <v>217</v>
      </c>
      <c r="C243" s="174"/>
      <c r="D243" s="174"/>
      <c r="E243" s="174"/>
      <c r="F243" s="174"/>
      <c r="G243" s="167"/>
      <c r="H243" s="168"/>
      <c r="I243" s="8" t="s">
        <v>218</v>
      </c>
      <c r="K243" s="7"/>
      <c r="L243" s="173" t="s">
        <v>217</v>
      </c>
      <c r="M243" s="174"/>
      <c r="N243" s="174"/>
      <c r="O243" s="174"/>
      <c r="P243" s="174"/>
      <c r="Q243" s="167"/>
      <c r="R243" s="168"/>
      <c r="S243" s="8" t="s">
        <v>218</v>
      </c>
    </row>
    <row r="244" spans="1:19" ht="15.75" thickBot="1" x14ac:dyDescent="0.3">
      <c r="A244" s="7"/>
      <c r="B244" s="141" t="s">
        <v>219</v>
      </c>
      <c r="C244" s="142"/>
      <c r="D244" s="142"/>
      <c r="E244" s="142"/>
      <c r="F244" s="142"/>
      <c r="G244" s="143">
        <v>0</v>
      </c>
      <c r="H244" s="144"/>
      <c r="I244" s="8" t="s">
        <v>220</v>
      </c>
      <c r="K244" s="7"/>
      <c r="L244" s="141" t="s">
        <v>219</v>
      </c>
      <c r="M244" s="142"/>
      <c r="N244" s="142"/>
      <c r="O244" s="142"/>
      <c r="P244" s="142"/>
      <c r="Q244" s="143">
        <v>0</v>
      </c>
      <c r="R244" s="144"/>
      <c r="S244" s="8" t="s">
        <v>220</v>
      </c>
    </row>
    <row r="245" spans="1:19" ht="15.75" thickBot="1" x14ac:dyDescent="0.3">
      <c r="A245" s="7"/>
      <c r="B245" s="141" t="s">
        <v>221</v>
      </c>
      <c r="C245" s="142"/>
      <c r="D245" s="142"/>
      <c r="E245" s="142"/>
      <c r="F245" s="142"/>
      <c r="G245" s="143">
        <f>0.15*12*F235</f>
        <v>165.42</v>
      </c>
      <c r="H245" s="144"/>
      <c r="I245" s="8" t="s">
        <v>222</v>
      </c>
      <c r="K245" s="7"/>
      <c r="L245" s="141" t="s">
        <v>221</v>
      </c>
      <c r="M245" s="142"/>
      <c r="N245" s="142"/>
      <c r="O245" s="142"/>
      <c r="P245" s="142"/>
      <c r="Q245" s="143">
        <f>0.474*12*P235</f>
        <v>14146.055999999999</v>
      </c>
      <c r="R245" s="144"/>
      <c r="S245" s="8" t="s">
        <v>222</v>
      </c>
    </row>
    <row r="246" spans="1:19" x14ac:dyDescent="0.25">
      <c r="A246" s="9"/>
      <c r="B246" s="145" t="s">
        <v>223</v>
      </c>
      <c r="C246" s="146"/>
      <c r="D246" s="146"/>
      <c r="E246" s="146"/>
      <c r="F246" s="146"/>
      <c r="G246" s="86">
        <f>0.19*12*F235</f>
        <v>209.53200000000004</v>
      </c>
      <c r="H246" s="147"/>
      <c r="I246" s="152" t="s">
        <v>224</v>
      </c>
      <c r="K246" s="9"/>
      <c r="L246" s="145" t="s">
        <v>223</v>
      </c>
      <c r="M246" s="146"/>
      <c r="N246" s="146"/>
      <c r="O246" s="146"/>
      <c r="P246" s="146"/>
      <c r="Q246" s="86">
        <f>2.5*12*P235</f>
        <v>74610</v>
      </c>
      <c r="R246" s="147"/>
      <c r="S246" s="152" t="s">
        <v>224</v>
      </c>
    </row>
    <row r="247" spans="1:19" x14ac:dyDescent="0.25">
      <c r="A247" s="10"/>
      <c r="B247" s="155" t="s">
        <v>226</v>
      </c>
      <c r="C247" s="156"/>
      <c r="D247" s="156"/>
      <c r="E247" s="156"/>
      <c r="F247" s="156"/>
      <c r="G247" s="148"/>
      <c r="H247" s="149"/>
      <c r="I247" s="153"/>
      <c r="K247" s="10"/>
      <c r="L247" s="155" t="s">
        <v>226</v>
      </c>
      <c r="M247" s="156"/>
      <c r="N247" s="156"/>
      <c r="O247" s="156"/>
      <c r="P247" s="156"/>
      <c r="Q247" s="148"/>
      <c r="R247" s="149"/>
      <c r="S247" s="153"/>
    </row>
    <row r="248" spans="1:19" ht="15.75" customHeight="1" thickBot="1" x14ac:dyDescent="0.3">
      <c r="A248" s="10"/>
      <c r="B248" s="157" t="s">
        <v>227</v>
      </c>
      <c r="C248" s="158"/>
      <c r="D248" s="158"/>
      <c r="E248" s="158"/>
      <c r="F248" s="158"/>
      <c r="G248" s="148"/>
      <c r="H248" s="149"/>
      <c r="I248" s="154"/>
      <c r="K248" s="10"/>
      <c r="L248" s="157" t="s">
        <v>227</v>
      </c>
      <c r="M248" s="158"/>
      <c r="N248" s="158"/>
      <c r="O248" s="158"/>
      <c r="P248" s="158"/>
      <c r="Q248" s="148"/>
      <c r="R248" s="149"/>
      <c r="S248" s="154"/>
    </row>
    <row r="249" spans="1:19" ht="15.75" customHeight="1" thickBot="1" x14ac:dyDescent="0.3">
      <c r="A249" s="10"/>
      <c r="B249" s="159" t="s">
        <v>228</v>
      </c>
      <c r="C249" s="160"/>
      <c r="D249" s="160"/>
      <c r="E249" s="160"/>
      <c r="F249" s="160"/>
      <c r="G249" s="150"/>
      <c r="H249" s="151"/>
      <c r="I249" s="11" t="s">
        <v>229</v>
      </c>
      <c r="K249" s="10"/>
      <c r="L249" s="159" t="s">
        <v>228</v>
      </c>
      <c r="M249" s="160"/>
      <c r="N249" s="160"/>
      <c r="O249" s="160"/>
      <c r="P249" s="160"/>
      <c r="Q249" s="150"/>
      <c r="R249" s="151"/>
      <c r="S249" s="11" t="s">
        <v>229</v>
      </c>
    </row>
    <row r="250" spans="1:19" x14ac:dyDescent="0.25">
      <c r="A250" s="12"/>
      <c r="B250" s="125" t="s">
        <v>230</v>
      </c>
      <c r="C250" s="126"/>
      <c r="D250" s="126"/>
      <c r="E250" s="126"/>
      <c r="F250" s="126"/>
      <c r="G250" s="86"/>
      <c r="H250" s="87"/>
      <c r="I250" s="129" t="s">
        <v>220</v>
      </c>
      <c r="K250" s="12"/>
      <c r="L250" s="125" t="s">
        <v>230</v>
      </c>
      <c r="M250" s="126"/>
      <c r="N250" s="126"/>
      <c r="O250" s="126"/>
      <c r="P250" s="126"/>
      <c r="Q250" s="86">
        <f>0.048*12*P235</f>
        <v>1432.5120000000002</v>
      </c>
      <c r="R250" s="87"/>
      <c r="S250" s="129" t="s">
        <v>220</v>
      </c>
    </row>
    <row r="251" spans="1:19" ht="15.75" thickBot="1" x14ac:dyDescent="0.3">
      <c r="A251" s="7"/>
      <c r="B251" s="131" t="s">
        <v>231</v>
      </c>
      <c r="C251" s="132"/>
      <c r="D251" s="132"/>
      <c r="E251" s="132"/>
      <c r="F251" s="132"/>
      <c r="G251" s="127"/>
      <c r="H251" s="128"/>
      <c r="I251" s="130"/>
      <c r="K251" s="7"/>
      <c r="L251" s="131" t="s">
        <v>231</v>
      </c>
      <c r="M251" s="132"/>
      <c r="N251" s="132"/>
      <c r="O251" s="132"/>
      <c r="P251" s="132"/>
      <c r="Q251" s="127"/>
      <c r="R251" s="128"/>
      <c r="S251" s="130"/>
    </row>
    <row r="252" spans="1:19" ht="15.75" thickBot="1" x14ac:dyDescent="0.3">
      <c r="A252" s="13"/>
      <c r="B252" s="133" t="s">
        <v>232</v>
      </c>
      <c r="C252" s="134"/>
      <c r="D252" s="134"/>
      <c r="E252" s="134"/>
      <c r="F252" s="134"/>
      <c r="G252" s="135"/>
      <c r="H252" s="136"/>
      <c r="I252" s="14"/>
      <c r="K252" s="13"/>
      <c r="L252" s="133" t="s">
        <v>232</v>
      </c>
      <c r="M252" s="134"/>
      <c r="N252" s="134"/>
      <c r="O252" s="134"/>
      <c r="P252" s="134"/>
      <c r="Q252" s="135"/>
      <c r="R252" s="136"/>
      <c r="S252" s="14"/>
    </row>
    <row r="253" spans="1:19" ht="26.25" customHeight="1" thickBot="1" x14ac:dyDescent="0.3">
      <c r="A253" s="13"/>
      <c r="B253" s="84" t="s">
        <v>233</v>
      </c>
      <c r="C253" s="85"/>
      <c r="D253" s="85"/>
      <c r="E253" s="85"/>
      <c r="F253" s="85"/>
      <c r="G253" s="86">
        <f>1.05*12*F235</f>
        <v>1157.9400000000003</v>
      </c>
      <c r="H253" s="87"/>
      <c r="I253" s="92" t="s">
        <v>672</v>
      </c>
      <c r="K253" s="13"/>
      <c r="L253" s="84" t="s">
        <v>233</v>
      </c>
      <c r="M253" s="85"/>
      <c r="N253" s="85"/>
      <c r="O253" s="85"/>
      <c r="P253" s="85"/>
      <c r="Q253" s="86">
        <f>2.6*12*P235</f>
        <v>77594.400000000009</v>
      </c>
      <c r="R253" s="87"/>
      <c r="S253" s="92" t="s">
        <v>673</v>
      </c>
    </row>
    <row r="254" spans="1:19" ht="29.25" customHeight="1" x14ac:dyDescent="0.25">
      <c r="A254" s="118"/>
      <c r="B254" s="121" t="s">
        <v>226</v>
      </c>
      <c r="C254" s="122"/>
      <c r="D254" s="122"/>
      <c r="E254" s="122"/>
      <c r="F254" s="122"/>
      <c r="G254" s="88"/>
      <c r="H254" s="89"/>
      <c r="I254" s="93"/>
      <c r="K254" s="118"/>
      <c r="L254" s="121" t="s">
        <v>226</v>
      </c>
      <c r="M254" s="122"/>
      <c r="N254" s="122"/>
      <c r="O254" s="122"/>
      <c r="P254" s="122"/>
      <c r="Q254" s="88"/>
      <c r="R254" s="89"/>
      <c r="S254" s="93"/>
    </row>
    <row r="255" spans="1:19" ht="29.25" customHeight="1" x14ac:dyDescent="0.25">
      <c r="A255" s="119"/>
      <c r="B255" s="121" t="s">
        <v>227</v>
      </c>
      <c r="C255" s="122"/>
      <c r="D255" s="122"/>
      <c r="E255" s="122"/>
      <c r="F255" s="122"/>
      <c r="G255" s="88"/>
      <c r="H255" s="89"/>
      <c r="I255" s="93"/>
      <c r="K255" s="119"/>
      <c r="L255" s="121" t="s">
        <v>227</v>
      </c>
      <c r="M255" s="122"/>
      <c r="N255" s="122"/>
      <c r="O255" s="122"/>
      <c r="P255" s="122"/>
      <c r="Q255" s="88"/>
      <c r="R255" s="89"/>
      <c r="S255" s="93"/>
    </row>
    <row r="256" spans="1:19" ht="32.25" customHeight="1" x14ac:dyDescent="0.25">
      <c r="A256" s="119"/>
      <c r="B256" s="121" t="s">
        <v>228</v>
      </c>
      <c r="C256" s="122"/>
      <c r="D256" s="122"/>
      <c r="E256" s="122"/>
      <c r="F256" s="122"/>
      <c r="G256" s="88"/>
      <c r="H256" s="89"/>
      <c r="I256" s="93"/>
      <c r="K256" s="119"/>
      <c r="L256" s="121" t="s">
        <v>228</v>
      </c>
      <c r="M256" s="122"/>
      <c r="N256" s="122"/>
      <c r="O256" s="122"/>
      <c r="P256" s="122"/>
      <c r="Q256" s="88"/>
      <c r="R256" s="89"/>
      <c r="S256" s="93"/>
    </row>
    <row r="257" spans="1:19" ht="58.5" customHeight="1" thickBot="1" x14ac:dyDescent="0.3">
      <c r="A257" s="120"/>
      <c r="B257" s="123" t="s">
        <v>234</v>
      </c>
      <c r="C257" s="124"/>
      <c r="D257" s="124"/>
      <c r="E257" s="124"/>
      <c r="F257" s="124"/>
      <c r="G257" s="90"/>
      <c r="H257" s="91"/>
      <c r="I257" s="94"/>
      <c r="K257" s="120"/>
      <c r="L257" s="123" t="s">
        <v>234</v>
      </c>
      <c r="M257" s="124"/>
      <c r="N257" s="124"/>
      <c r="O257" s="124"/>
      <c r="P257" s="124"/>
      <c r="Q257" s="90"/>
      <c r="R257" s="91"/>
      <c r="S257" s="94"/>
    </row>
    <row r="258" spans="1:19" ht="0.75" hidden="1" customHeight="1" x14ac:dyDescent="0.25">
      <c r="A258" s="15"/>
      <c r="B258" s="137" t="s">
        <v>248</v>
      </c>
      <c r="C258" s="138"/>
      <c r="D258" s="138"/>
      <c r="E258" s="138"/>
      <c r="F258" s="138"/>
      <c r="G258" s="139"/>
      <c r="H258" s="140"/>
      <c r="I258" s="16"/>
      <c r="K258" s="15"/>
      <c r="L258" s="137" t="s">
        <v>248</v>
      </c>
      <c r="M258" s="138"/>
      <c r="N258" s="138"/>
      <c r="O258" s="138"/>
      <c r="P258" s="138"/>
      <c r="Q258" s="139"/>
      <c r="R258" s="140"/>
      <c r="S258" s="16"/>
    </row>
    <row r="259" spans="1:19" ht="39" hidden="1" customHeight="1" x14ac:dyDescent="0.25">
      <c r="A259" s="15"/>
      <c r="B259" s="137" t="s">
        <v>235</v>
      </c>
      <c r="C259" s="138"/>
      <c r="D259" s="138"/>
      <c r="E259" s="138"/>
      <c r="F259" s="138"/>
      <c r="G259" s="139"/>
      <c r="H259" s="140"/>
      <c r="I259" s="16"/>
      <c r="K259" s="15"/>
      <c r="L259" s="137" t="s">
        <v>235</v>
      </c>
      <c r="M259" s="138"/>
      <c r="N259" s="138"/>
      <c r="O259" s="138"/>
      <c r="P259" s="138"/>
      <c r="Q259" s="139"/>
      <c r="R259" s="140"/>
      <c r="S259" s="16"/>
    </row>
    <row r="260" spans="1:19" ht="30" customHeight="1" thickBot="1" x14ac:dyDescent="0.3">
      <c r="A260" s="17"/>
      <c r="B260" s="78" t="s">
        <v>237</v>
      </c>
      <c r="C260" s="79"/>
      <c r="D260" s="79"/>
      <c r="E260" s="79"/>
      <c r="F260" s="79"/>
      <c r="G260" s="86">
        <v>7955</v>
      </c>
      <c r="H260" s="87"/>
      <c r="I260" s="108" t="s">
        <v>229</v>
      </c>
      <c r="K260" s="17"/>
      <c r="L260" s="78" t="s">
        <v>237</v>
      </c>
      <c r="M260" s="79"/>
      <c r="N260" s="79"/>
      <c r="O260" s="79"/>
      <c r="P260" s="79"/>
      <c r="Q260" s="86">
        <f>8932+2002</f>
        <v>10934</v>
      </c>
      <c r="R260" s="87"/>
      <c r="S260" s="108" t="s">
        <v>229</v>
      </c>
    </row>
    <row r="261" spans="1:19" ht="15.75" thickBot="1" x14ac:dyDescent="0.3">
      <c r="A261" s="18"/>
      <c r="B261" s="110" t="s">
        <v>238</v>
      </c>
      <c r="C261" s="111"/>
      <c r="D261" s="111"/>
      <c r="E261" s="111"/>
      <c r="F261" s="111"/>
      <c r="G261" s="90"/>
      <c r="H261" s="91"/>
      <c r="I261" s="109"/>
      <c r="K261" s="18"/>
      <c r="L261" s="110" t="s">
        <v>238</v>
      </c>
      <c r="M261" s="111"/>
      <c r="N261" s="111"/>
      <c r="O261" s="111"/>
      <c r="P261" s="111"/>
      <c r="Q261" s="90"/>
      <c r="R261" s="91"/>
      <c r="S261" s="109"/>
    </row>
    <row r="262" spans="1:19" ht="15.75" thickBot="1" x14ac:dyDescent="0.3">
      <c r="A262" s="19"/>
      <c r="B262" s="112" t="s">
        <v>239</v>
      </c>
      <c r="C262" s="113"/>
      <c r="D262" s="113"/>
      <c r="E262" s="113"/>
      <c r="F262" s="113"/>
      <c r="G262" s="114">
        <f>SUM(G241:H261)</f>
        <v>9862.844000000001</v>
      </c>
      <c r="H262" s="115"/>
      <c r="I262" s="20"/>
      <c r="K262" s="19"/>
      <c r="L262" s="112" t="s">
        <v>239</v>
      </c>
      <c r="M262" s="113"/>
      <c r="N262" s="113"/>
      <c r="O262" s="113"/>
      <c r="P262" s="113"/>
      <c r="Q262" s="114">
        <f>SUM(Q241:R261)</f>
        <v>247059.728</v>
      </c>
      <c r="R262" s="115"/>
      <c r="S262" s="20"/>
    </row>
    <row r="263" spans="1:19" ht="19.5" customHeight="1" thickBot="1" x14ac:dyDescent="0.3">
      <c r="A263" s="21"/>
      <c r="B263" s="101" t="s">
        <v>240</v>
      </c>
      <c r="C263" s="102"/>
      <c r="D263" s="102"/>
      <c r="E263" s="102"/>
      <c r="F263" s="102"/>
      <c r="G263" s="116">
        <f>G262*1.2</f>
        <v>11835.4128</v>
      </c>
      <c r="H263" s="117"/>
      <c r="I263" s="22"/>
      <c r="K263" s="21"/>
      <c r="L263" s="101" t="s">
        <v>240</v>
      </c>
      <c r="M263" s="102"/>
      <c r="N263" s="102"/>
      <c r="O263" s="102"/>
      <c r="P263" s="102"/>
      <c r="Q263" s="116">
        <f>Q262*1.2</f>
        <v>296471.67359999998</v>
      </c>
      <c r="R263" s="117"/>
      <c r="S263" s="22"/>
    </row>
    <row r="264" spans="1:19" ht="19.5" customHeight="1" thickBot="1" x14ac:dyDescent="0.3">
      <c r="A264" s="24"/>
      <c r="B264" s="96" t="s">
        <v>443</v>
      </c>
      <c r="C264" s="97"/>
      <c r="D264" s="97"/>
      <c r="E264" s="97"/>
      <c r="F264" s="97"/>
      <c r="G264" s="311">
        <v>5325.6</v>
      </c>
      <c r="H264" s="312"/>
      <c r="I264" s="313"/>
      <c r="K264" s="24"/>
      <c r="L264" s="96" t="s">
        <v>443</v>
      </c>
      <c r="M264" s="97"/>
      <c r="N264" s="97"/>
      <c r="O264" s="97"/>
      <c r="P264" s="97"/>
      <c r="Q264" s="311">
        <v>375307.46</v>
      </c>
      <c r="R264" s="312"/>
      <c r="S264" s="313"/>
    </row>
    <row r="265" spans="1:19" ht="19.5" customHeight="1" thickBot="1" x14ac:dyDescent="0.3">
      <c r="A265" s="19"/>
      <c r="B265" s="101" t="s">
        <v>242</v>
      </c>
      <c r="C265" s="102"/>
      <c r="D265" s="102"/>
      <c r="E265" s="102"/>
      <c r="F265" s="102"/>
      <c r="G265" s="307">
        <v>5977.91</v>
      </c>
      <c r="H265" s="308"/>
      <c r="I265" s="309"/>
      <c r="K265" s="19"/>
      <c r="L265" s="101" t="s">
        <v>242</v>
      </c>
      <c r="M265" s="102"/>
      <c r="N265" s="102"/>
      <c r="O265" s="102"/>
      <c r="P265" s="102"/>
      <c r="Q265" s="307">
        <v>373809.7</v>
      </c>
      <c r="R265" s="308"/>
      <c r="S265" s="309"/>
    </row>
    <row r="266" spans="1:19" ht="19.5" customHeight="1" thickBot="1" x14ac:dyDescent="0.3">
      <c r="A266" s="19"/>
      <c r="B266" s="106" t="s">
        <v>444</v>
      </c>
      <c r="C266" s="107"/>
      <c r="D266" s="107"/>
      <c r="E266" s="107"/>
      <c r="F266" s="107"/>
      <c r="G266" s="307">
        <v>223.05</v>
      </c>
      <c r="H266" s="308"/>
      <c r="I266" s="309"/>
      <c r="K266" s="19"/>
      <c r="L266" s="106" t="s">
        <v>444</v>
      </c>
      <c r="M266" s="107"/>
      <c r="N266" s="107"/>
      <c r="O266" s="107"/>
      <c r="P266" s="107"/>
      <c r="Q266" s="307">
        <v>69314.83</v>
      </c>
      <c r="R266" s="308"/>
      <c r="S266" s="309"/>
    </row>
    <row r="267" spans="1:19" ht="58.5" customHeight="1" x14ac:dyDescent="0.25">
      <c r="A267" s="4"/>
      <c r="B267" s="26"/>
      <c r="C267" s="26"/>
      <c r="D267" s="26"/>
      <c r="E267" s="26"/>
      <c r="F267" s="26"/>
      <c r="G267" s="27"/>
      <c r="H267" s="3"/>
      <c r="I267" s="3"/>
      <c r="K267" s="4"/>
      <c r="L267" s="302" t="s">
        <v>674</v>
      </c>
      <c r="M267" s="162"/>
      <c r="N267" s="162"/>
      <c r="O267" s="162"/>
      <c r="P267" s="162"/>
      <c r="Q267" s="162"/>
      <c r="R267" s="162"/>
      <c r="S267" s="162"/>
    </row>
    <row r="268" spans="1:19" x14ac:dyDescent="0.25">
      <c r="E268" s="50"/>
      <c r="I268" s="5"/>
      <c r="O268" s="50"/>
      <c r="S268" s="5"/>
    </row>
    <row r="269" spans="1:19" x14ac:dyDescent="0.25">
      <c r="A269" s="3"/>
      <c r="I269" s="5"/>
      <c r="K269" s="3"/>
      <c r="S269" s="5"/>
    </row>
    <row r="270" spans="1:19" ht="15.75" x14ac:dyDescent="0.25">
      <c r="A270" s="3"/>
      <c r="C270" s="30"/>
      <c r="K270" s="3"/>
      <c r="M270" s="30"/>
    </row>
    <row r="271" spans="1:19" ht="15.75" x14ac:dyDescent="0.25">
      <c r="A271" s="30"/>
      <c r="C271" s="30"/>
      <c r="K271" s="30"/>
      <c r="M271" s="30"/>
    </row>
  </sheetData>
  <mergeCells count="762">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B28:F28"/>
    <mergeCell ref="G28:H29"/>
    <mergeCell ref="I28:I29"/>
    <mergeCell ref="L28:P28"/>
    <mergeCell ref="Q28:R29"/>
    <mergeCell ref="S28:S29"/>
    <mergeCell ref="B29:F29"/>
    <mergeCell ref="L29:P29"/>
    <mergeCell ref="B26:F26"/>
    <mergeCell ref="G26:H26"/>
    <mergeCell ref="L26:P26"/>
    <mergeCell ref="Q26:R26"/>
    <mergeCell ref="B27:F27"/>
    <mergeCell ref="G27:H27"/>
    <mergeCell ref="L27:P27"/>
    <mergeCell ref="Q27:R27"/>
    <mergeCell ref="B32:F32"/>
    <mergeCell ref="G32:I32"/>
    <mergeCell ref="L32:P32"/>
    <mergeCell ref="Q32:S32"/>
    <mergeCell ref="B33:F33"/>
    <mergeCell ref="G33:I33"/>
    <mergeCell ref="L33:P33"/>
    <mergeCell ref="Q33:S33"/>
    <mergeCell ref="B30:F30"/>
    <mergeCell ref="G30:H30"/>
    <mergeCell ref="L30:P30"/>
    <mergeCell ref="Q30:R30"/>
    <mergeCell ref="B31:F31"/>
    <mergeCell ref="G31:H31"/>
    <mergeCell ref="L31:P31"/>
    <mergeCell ref="Q31:R31"/>
    <mergeCell ref="B34:F34"/>
    <mergeCell ref="G34:I34"/>
    <mergeCell ref="L34:P34"/>
    <mergeCell ref="Q34:S34"/>
    <mergeCell ref="L35:S36"/>
    <mergeCell ref="A43:A44"/>
    <mergeCell ref="B43:F44"/>
    <mergeCell ref="G43:H44"/>
    <mergeCell ref="I43:I44"/>
    <mergeCell ref="K43:K44"/>
    <mergeCell ref="L43:P44"/>
    <mergeCell ref="Q43:R44"/>
    <mergeCell ref="S43:S44"/>
    <mergeCell ref="A45:A46"/>
    <mergeCell ref="B45:F46"/>
    <mergeCell ref="G45:I46"/>
    <mergeCell ref="K45:K46"/>
    <mergeCell ref="L45:P46"/>
    <mergeCell ref="Q45:S46"/>
    <mergeCell ref="B47:F47"/>
    <mergeCell ref="G47:H49"/>
    <mergeCell ref="I47:I48"/>
    <mergeCell ref="L47:P47"/>
    <mergeCell ref="Q47:R49"/>
    <mergeCell ref="S47:S48"/>
    <mergeCell ref="B48:F48"/>
    <mergeCell ref="L48:P48"/>
    <mergeCell ref="B49:F49"/>
    <mergeCell ref="L49:P49"/>
    <mergeCell ref="B54:F54"/>
    <mergeCell ref="L54:P54"/>
    <mergeCell ref="B50:F50"/>
    <mergeCell ref="G50:H50"/>
    <mergeCell ref="L50:P50"/>
    <mergeCell ref="Q50:R50"/>
    <mergeCell ref="B51:F51"/>
    <mergeCell ref="G51:H51"/>
    <mergeCell ref="L51:P51"/>
    <mergeCell ref="Q51:R51"/>
    <mergeCell ref="B52:F52"/>
    <mergeCell ref="G52:H55"/>
    <mergeCell ref="I52:I54"/>
    <mergeCell ref="L52:P52"/>
    <mergeCell ref="B59:F59"/>
    <mergeCell ref="G59:H63"/>
    <mergeCell ref="I59:I63"/>
    <mergeCell ref="L59:P59"/>
    <mergeCell ref="Q52:R55"/>
    <mergeCell ref="B55:F55"/>
    <mergeCell ref="L55:P55"/>
    <mergeCell ref="Q59:R63"/>
    <mergeCell ref="S59:S63"/>
    <mergeCell ref="Q56:R57"/>
    <mergeCell ref="S56:S57"/>
    <mergeCell ref="B57:F57"/>
    <mergeCell ref="L57:P57"/>
    <mergeCell ref="B58:F58"/>
    <mergeCell ref="G58:H58"/>
    <mergeCell ref="L58:P58"/>
    <mergeCell ref="Q58:R58"/>
    <mergeCell ref="B56:F56"/>
    <mergeCell ref="G56:H57"/>
    <mergeCell ref="I56:I57"/>
    <mergeCell ref="L56:P56"/>
    <mergeCell ref="S52:S54"/>
    <mergeCell ref="B53:F53"/>
    <mergeCell ref="L53:P53"/>
    <mergeCell ref="A60:A63"/>
    <mergeCell ref="B60:F60"/>
    <mergeCell ref="K60:K63"/>
    <mergeCell ref="L60:P60"/>
    <mergeCell ref="B61:F61"/>
    <mergeCell ref="L61:P61"/>
    <mergeCell ref="B62:F62"/>
    <mergeCell ref="L62:P62"/>
    <mergeCell ref="B63:F63"/>
    <mergeCell ref="L63:P63"/>
    <mergeCell ref="B66:F66"/>
    <mergeCell ref="G66:H67"/>
    <mergeCell ref="I66:I67"/>
    <mergeCell ref="L66:P66"/>
    <mergeCell ref="Q66:R67"/>
    <mergeCell ref="S66:S67"/>
    <mergeCell ref="B67:F67"/>
    <mergeCell ref="L67:P67"/>
    <mergeCell ref="B64:F64"/>
    <mergeCell ref="G64:H64"/>
    <mergeCell ref="L64:P64"/>
    <mergeCell ref="Q64:R64"/>
    <mergeCell ref="B65:F65"/>
    <mergeCell ref="G65:H65"/>
    <mergeCell ref="L65:P65"/>
    <mergeCell ref="Q65:R65"/>
    <mergeCell ref="B70:F70"/>
    <mergeCell ref="G70:I70"/>
    <mergeCell ref="L70:P70"/>
    <mergeCell ref="Q70:S70"/>
    <mergeCell ref="B71:F71"/>
    <mergeCell ref="G71:I71"/>
    <mergeCell ref="L71:P71"/>
    <mergeCell ref="Q71:S71"/>
    <mergeCell ref="B68:F68"/>
    <mergeCell ref="G68:H68"/>
    <mergeCell ref="L68:P68"/>
    <mergeCell ref="Q68:R68"/>
    <mergeCell ref="B69:F69"/>
    <mergeCell ref="G69:H69"/>
    <mergeCell ref="L69:P69"/>
    <mergeCell ref="Q69:R69"/>
    <mergeCell ref="Q82:R83"/>
    <mergeCell ref="S82:S83"/>
    <mergeCell ref="A84:A85"/>
    <mergeCell ref="B84:F85"/>
    <mergeCell ref="G84:I85"/>
    <mergeCell ref="K84:K85"/>
    <mergeCell ref="L84:P85"/>
    <mergeCell ref="Q84:S85"/>
    <mergeCell ref="B72:F72"/>
    <mergeCell ref="G72:I72"/>
    <mergeCell ref="L72:P72"/>
    <mergeCell ref="Q72:S72"/>
    <mergeCell ref="A82:A83"/>
    <mergeCell ref="B82:F83"/>
    <mergeCell ref="G82:H83"/>
    <mergeCell ref="I82:I83"/>
    <mergeCell ref="K82:K83"/>
    <mergeCell ref="L82:P83"/>
    <mergeCell ref="L73:S73"/>
    <mergeCell ref="B86:F86"/>
    <mergeCell ref="G86:H88"/>
    <mergeCell ref="I86:I87"/>
    <mergeCell ref="L86:P86"/>
    <mergeCell ref="Q86:R88"/>
    <mergeCell ref="S86:S87"/>
    <mergeCell ref="B87:F87"/>
    <mergeCell ref="L87:P87"/>
    <mergeCell ref="B88:F88"/>
    <mergeCell ref="L88:P88"/>
    <mergeCell ref="B93:F93"/>
    <mergeCell ref="L93:P93"/>
    <mergeCell ref="B89:F89"/>
    <mergeCell ref="G89:H89"/>
    <mergeCell ref="L89:P89"/>
    <mergeCell ref="Q89:R89"/>
    <mergeCell ref="B90:F90"/>
    <mergeCell ref="G90:H90"/>
    <mergeCell ref="L90:P90"/>
    <mergeCell ref="Q90:R90"/>
    <mergeCell ref="B91:F91"/>
    <mergeCell ref="G91:H94"/>
    <mergeCell ref="I91:I93"/>
    <mergeCell ref="L91:P91"/>
    <mergeCell ref="B98:F98"/>
    <mergeCell ref="G98:H102"/>
    <mergeCell ref="I98:I102"/>
    <mergeCell ref="L98:P98"/>
    <mergeCell ref="Q91:R94"/>
    <mergeCell ref="B94:F94"/>
    <mergeCell ref="L94:P94"/>
    <mergeCell ref="Q98:R102"/>
    <mergeCell ref="S98:S102"/>
    <mergeCell ref="Q95:R96"/>
    <mergeCell ref="S95:S96"/>
    <mergeCell ref="B96:F96"/>
    <mergeCell ref="L96:P96"/>
    <mergeCell ref="B97:F97"/>
    <mergeCell ref="G97:H97"/>
    <mergeCell ref="L97:P97"/>
    <mergeCell ref="Q97:R97"/>
    <mergeCell ref="B95:F95"/>
    <mergeCell ref="G95:H96"/>
    <mergeCell ref="I95:I96"/>
    <mergeCell ref="L95:P95"/>
    <mergeCell ref="S91:S93"/>
    <mergeCell ref="B92:F92"/>
    <mergeCell ref="L92:P92"/>
    <mergeCell ref="A99:A102"/>
    <mergeCell ref="B99:F99"/>
    <mergeCell ref="K99:K102"/>
    <mergeCell ref="L99:P99"/>
    <mergeCell ref="B100:F100"/>
    <mergeCell ref="L100:P100"/>
    <mergeCell ref="B101:F101"/>
    <mergeCell ref="L101:P101"/>
    <mergeCell ref="B102:F102"/>
    <mergeCell ref="L102:P102"/>
    <mergeCell ref="B105:F105"/>
    <mergeCell ref="G105:H106"/>
    <mergeCell ref="I105:I106"/>
    <mergeCell ref="L105:P105"/>
    <mergeCell ref="Q105:R106"/>
    <mergeCell ref="S105:S106"/>
    <mergeCell ref="B106:F106"/>
    <mergeCell ref="L106:P106"/>
    <mergeCell ref="B103:F103"/>
    <mergeCell ref="G103:H103"/>
    <mergeCell ref="L103:P103"/>
    <mergeCell ref="Q103:R103"/>
    <mergeCell ref="B104:F104"/>
    <mergeCell ref="G104:H104"/>
    <mergeCell ref="L104:P104"/>
    <mergeCell ref="Q104:R104"/>
    <mergeCell ref="B109:F109"/>
    <mergeCell ref="G109:I109"/>
    <mergeCell ref="L109:P109"/>
    <mergeCell ref="Q109:S109"/>
    <mergeCell ref="B110:F110"/>
    <mergeCell ref="G110:I110"/>
    <mergeCell ref="L110:P110"/>
    <mergeCell ref="Q110:S110"/>
    <mergeCell ref="B107:F107"/>
    <mergeCell ref="G107:H107"/>
    <mergeCell ref="L107:P107"/>
    <mergeCell ref="Q107:R107"/>
    <mergeCell ref="B108:F108"/>
    <mergeCell ref="G108:H108"/>
    <mergeCell ref="L108:P108"/>
    <mergeCell ref="Q108:R108"/>
    <mergeCell ref="Q120:R121"/>
    <mergeCell ref="S120:S121"/>
    <mergeCell ref="A122:A123"/>
    <mergeCell ref="B122:F123"/>
    <mergeCell ref="G122:I123"/>
    <mergeCell ref="K122:K123"/>
    <mergeCell ref="L122:P123"/>
    <mergeCell ref="Q122:S123"/>
    <mergeCell ref="B111:F111"/>
    <mergeCell ref="G111:I111"/>
    <mergeCell ref="L111:P111"/>
    <mergeCell ref="Q111:S111"/>
    <mergeCell ref="A120:A121"/>
    <mergeCell ref="B120:F121"/>
    <mergeCell ref="G120:H121"/>
    <mergeCell ref="I120:I121"/>
    <mergeCell ref="K120:K121"/>
    <mergeCell ref="L120:P121"/>
    <mergeCell ref="B124:F124"/>
    <mergeCell ref="G124:H126"/>
    <mergeCell ref="I124:I125"/>
    <mergeCell ref="L124:P124"/>
    <mergeCell ref="Q124:R126"/>
    <mergeCell ref="S124:S125"/>
    <mergeCell ref="B125:F125"/>
    <mergeCell ref="L125:P125"/>
    <mergeCell ref="B126:F126"/>
    <mergeCell ref="L126:P126"/>
    <mergeCell ref="B131:F131"/>
    <mergeCell ref="L131:P131"/>
    <mergeCell ref="B127:F127"/>
    <mergeCell ref="G127:H127"/>
    <mergeCell ref="L127:P127"/>
    <mergeCell ref="Q127:R127"/>
    <mergeCell ref="B128:F128"/>
    <mergeCell ref="G128:H128"/>
    <mergeCell ref="L128:P128"/>
    <mergeCell ref="Q128:R128"/>
    <mergeCell ref="B129:F129"/>
    <mergeCell ref="G129:H132"/>
    <mergeCell ref="I129:I131"/>
    <mergeCell ref="L129:P129"/>
    <mergeCell ref="B136:F136"/>
    <mergeCell ref="G136:H140"/>
    <mergeCell ref="I136:I140"/>
    <mergeCell ref="L136:P136"/>
    <mergeCell ref="Q129:R132"/>
    <mergeCell ref="B132:F132"/>
    <mergeCell ref="L132:P132"/>
    <mergeCell ref="Q136:R140"/>
    <mergeCell ref="S136:S140"/>
    <mergeCell ref="Q133:R134"/>
    <mergeCell ref="S133:S134"/>
    <mergeCell ref="B134:F134"/>
    <mergeCell ref="L134:P134"/>
    <mergeCell ref="B135:F135"/>
    <mergeCell ref="G135:H135"/>
    <mergeCell ref="L135:P135"/>
    <mergeCell ref="Q135:R135"/>
    <mergeCell ref="B133:F133"/>
    <mergeCell ref="G133:H134"/>
    <mergeCell ref="I133:I134"/>
    <mergeCell ref="L133:P133"/>
    <mergeCell ref="S129:S131"/>
    <mergeCell ref="B130:F130"/>
    <mergeCell ref="L130:P130"/>
    <mergeCell ref="A137:A140"/>
    <mergeCell ref="B137:F137"/>
    <mergeCell ref="K137:K140"/>
    <mergeCell ref="L137:P137"/>
    <mergeCell ref="B138:F138"/>
    <mergeCell ref="L138:P138"/>
    <mergeCell ref="B139:F139"/>
    <mergeCell ref="L139:P139"/>
    <mergeCell ref="B140:F140"/>
    <mergeCell ref="L140:P140"/>
    <mergeCell ref="B143:F143"/>
    <mergeCell ref="G143:H144"/>
    <mergeCell ref="I143:I144"/>
    <mergeCell ref="L143:P143"/>
    <mergeCell ref="Q143:R144"/>
    <mergeCell ref="S143:S144"/>
    <mergeCell ref="B144:F144"/>
    <mergeCell ref="L144:P144"/>
    <mergeCell ref="B141:F141"/>
    <mergeCell ref="G141:H141"/>
    <mergeCell ref="L141:P141"/>
    <mergeCell ref="Q141:R141"/>
    <mergeCell ref="B142:F142"/>
    <mergeCell ref="G142:H142"/>
    <mergeCell ref="L142:P142"/>
    <mergeCell ref="Q142:R142"/>
    <mergeCell ref="B147:F147"/>
    <mergeCell ref="G147:I147"/>
    <mergeCell ref="L147:P147"/>
    <mergeCell ref="Q147:S147"/>
    <mergeCell ref="B148:F148"/>
    <mergeCell ref="G148:I148"/>
    <mergeCell ref="L148:P148"/>
    <mergeCell ref="Q148:S148"/>
    <mergeCell ref="B145:F145"/>
    <mergeCell ref="G145:H145"/>
    <mergeCell ref="L145:P145"/>
    <mergeCell ref="Q145:R145"/>
    <mergeCell ref="B146:F146"/>
    <mergeCell ref="G146:H146"/>
    <mergeCell ref="L146:P146"/>
    <mergeCell ref="Q146:R146"/>
    <mergeCell ref="B149:F149"/>
    <mergeCell ref="G149:I149"/>
    <mergeCell ref="L149:P149"/>
    <mergeCell ref="Q149:S149"/>
    <mergeCell ref="L150:S150"/>
    <mergeCell ref="A159:A160"/>
    <mergeCell ref="B159:F160"/>
    <mergeCell ref="G159:H160"/>
    <mergeCell ref="I159:I160"/>
    <mergeCell ref="K159:K160"/>
    <mergeCell ref="L159:P160"/>
    <mergeCell ref="Q159:R160"/>
    <mergeCell ref="S159:S160"/>
    <mergeCell ref="B150:I150"/>
    <mergeCell ref="A161:A162"/>
    <mergeCell ref="B161:F162"/>
    <mergeCell ref="G161:I162"/>
    <mergeCell ref="K161:K162"/>
    <mergeCell ref="L161:P162"/>
    <mergeCell ref="Q161:S162"/>
    <mergeCell ref="B163:F163"/>
    <mergeCell ref="G163:H165"/>
    <mergeCell ref="I163:I164"/>
    <mergeCell ref="L163:P163"/>
    <mergeCell ref="Q163:R165"/>
    <mergeCell ref="S163:S164"/>
    <mergeCell ref="B164:F164"/>
    <mergeCell ref="L164:P164"/>
    <mergeCell ref="B165:F165"/>
    <mergeCell ref="L165:P165"/>
    <mergeCell ref="B170:F170"/>
    <mergeCell ref="L170:P170"/>
    <mergeCell ref="B166:F166"/>
    <mergeCell ref="G166:H166"/>
    <mergeCell ref="L166:P166"/>
    <mergeCell ref="Q166:R166"/>
    <mergeCell ref="B167:F167"/>
    <mergeCell ref="G167:H167"/>
    <mergeCell ref="L167:P167"/>
    <mergeCell ref="Q167:R167"/>
    <mergeCell ref="B168:F168"/>
    <mergeCell ref="G168:H171"/>
    <mergeCell ref="I168:I170"/>
    <mergeCell ref="L168:P168"/>
    <mergeCell ref="B175:F175"/>
    <mergeCell ref="G175:H179"/>
    <mergeCell ref="I175:I179"/>
    <mergeCell ref="L175:P175"/>
    <mergeCell ref="Q168:R171"/>
    <mergeCell ref="B171:F171"/>
    <mergeCell ref="L171:P171"/>
    <mergeCell ref="Q175:R179"/>
    <mergeCell ref="S175:S179"/>
    <mergeCell ref="Q172:R173"/>
    <mergeCell ref="S172:S173"/>
    <mergeCell ref="B173:F173"/>
    <mergeCell ref="L173:P173"/>
    <mergeCell ref="B174:F174"/>
    <mergeCell ref="G174:H174"/>
    <mergeCell ref="L174:P174"/>
    <mergeCell ref="Q174:R174"/>
    <mergeCell ref="B172:F172"/>
    <mergeCell ref="G172:H173"/>
    <mergeCell ref="I172:I173"/>
    <mergeCell ref="L172:P172"/>
    <mergeCell ref="S168:S170"/>
    <mergeCell ref="B169:F169"/>
    <mergeCell ref="L169:P169"/>
    <mergeCell ref="A176:A179"/>
    <mergeCell ref="B176:F176"/>
    <mergeCell ref="K176:K179"/>
    <mergeCell ref="L176:P176"/>
    <mergeCell ref="B177:F177"/>
    <mergeCell ref="L177:P177"/>
    <mergeCell ref="B178:F178"/>
    <mergeCell ref="L178:P178"/>
    <mergeCell ref="B179:F179"/>
    <mergeCell ref="L179:P179"/>
    <mergeCell ref="B182:F182"/>
    <mergeCell ref="G182:H183"/>
    <mergeCell ref="I182:I183"/>
    <mergeCell ref="L182:P182"/>
    <mergeCell ref="Q182:R183"/>
    <mergeCell ref="S182:S183"/>
    <mergeCell ref="B183:F183"/>
    <mergeCell ref="L183:P183"/>
    <mergeCell ref="B180:F180"/>
    <mergeCell ref="G180:H180"/>
    <mergeCell ref="L180:P180"/>
    <mergeCell ref="Q180:R180"/>
    <mergeCell ref="B181:F181"/>
    <mergeCell ref="G181:H181"/>
    <mergeCell ref="L181:P181"/>
    <mergeCell ref="Q181:R181"/>
    <mergeCell ref="B186:F186"/>
    <mergeCell ref="G186:I186"/>
    <mergeCell ref="L186:P186"/>
    <mergeCell ref="Q186:S186"/>
    <mergeCell ref="B187:F187"/>
    <mergeCell ref="G187:I187"/>
    <mergeCell ref="L187:P187"/>
    <mergeCell ref="Q187:S187"/>
    <mergeCell ref="B184:F184"/>
    <mergeCell ref="G184:H184"/>
    <mergeCell ref="L184:P184"/>
    <mergeCell ref="Q184:R184"/>
    <mergeCell ref="B185:F185"/>
    <mergeCell ref="G185:H185"/>
    <mergeCell ref="L185:P185"/>
    <mergeCell ref="Q185:R185"/>
    <mergeCell ref="B188:F188"/>
    <mergeCell ref="G188:I188"/>
    <mergeCell ref="L188:P188"/>
    <mergeCell ref="Q188:S188"/>
    <mergeCell ref="B189:I190"/>
    <mergeCell ref="A198:A199"/>
    <mergeCell ref="B198:F199"/>
    <mergeCell ref="G198:H199"/>
    <mergeCell ref="I198:I199"/>
    <mergeCell ref="K198:K199"/>
    <mergeCell ref="L198:P199"/>
    <mergeCell ref="Q198:R199"/>
    <mergeCell ref="S198:S199"/>
    <mergeCell ref="A200:A201"/>
    <mergeCell ref="B200:F201"/>
    <mergeCell ref="G200:I201"/>
    <mergeCell ref="K200:K201"/>
    <mergeCell ref="L200:P201"/>
    <mergeCell ref="Q200:S201"/>
    <mergeCell ref="B202:F202"/>
    <mergeCell ref="G202:H204"/>
    <mergeCell ref="I202:I203"/>
    <mergeCell ref="L202:P202"/>
    <mergeCell ref="Q202:R204"/>
    <mergeCell ref="S202:S203"/>
    <mergeCell ref="B203:F203"/>
    <mergeCell ref="L203:P203"/>
    <mergeCell ref="B204:F204"/>
    <mergeCell ref="L204:P204"/>
    <mergeCell ref="B209:F209"/>
    <mergeCell ref="L209:P209"/>
    <mergeCell ref="B205:F205"/>
    <mergeCell ref="G205:H205"/>
    <mergeCell ref="L205:P205"/>
    <mergeCell ref="Q205:R205"/>
    <mergeCell ref="B206:F206"/>
    <mergeCell ref="G206:H206"/>
    <mergeCell ref="L206:P206"/>
    <mergeCell ref="Q206:R206"/>
    <mergeCell ref="B207:F207"/>
    <mergeCell ref="G207:H210"/>
    <mergeCell ref="I207:I209"/>
    <mergeCell ref="L207:P207"/>
    <mergeCell ref="B214:F214"/>
    <mergeCell ref="G214:H218"/>
    <mergeCell ref="I214:I218"/>
    <mergeCell ref="L214:P214"/>
    <mergeCell ref="Q207:R210"/>
    <mergeCell ref="B210:F210"/>
    <mergeCell ref="L210:P210"/>
    <mergeCell ref="Q214:R218"/>
    <mergeCell ref="S214:S218"/>
    <mergeCell ref="Q211:R212"/>
    <mergeCell ref="S211:S212"/>
    <mergeCell ref="B212:F212"/>
    <mergeCell ref="L212:P212"/>
    <mergeCell ref="B213:F213"/>
    <mergeCell ref="G213:H213"/>
    <mergeCell ref="L213:P213"/>
    <mergeCell ref="Q213:R213"/>
    <mergeCell ref="B211:F211"/>
    <mergeCell ref="G211:H212"/>
    <mergeCell ref="I211:I212"/>
    <mergeCell ref="L211:P211"/>
    <mergeCell ref="S207:S209"/>
    <mergeCell ref="B208:F208"/>
    <mergeCell ref="L208:P208"/>
    <mergeCell ref="A215:A218"/>
    <mergeCell ref="B215:F215"/>
    <mergeCell ref="K215:K218"/>
    <mergeCell ref="L215:P215"/>
    <mergeCell ref="B216:F216"/>
    <mergeCell ref="L216:P216"/>
    <mergeCell ref="B217:F217"/>
    <mergeCell ref="L217:P217"/>
    <mergeCell ref="B218:F218"/>
    <mergeCell ref="L218:P218"/>
    <mergeCell ref="B221:F221"/>
    <mergeCell ref="G221:H222"/>
    <mergeCell ref="I221:I222"/>
    <mergeCell ref="L221:P221"/>
    <mergeCell ref="Q221:R222"/>
    <mergeCell ref="S221:S222"/>
    <mergeCell ref="B222:F222"/>
    <mergeCell ref="L222:P222"/>
    <mergeCell ref="B219:F219"/>
    <mergeCell ref="G219:H219"/>
    <mergeCell ref="L219:P219"/>
    <mergeCell ref="Q219:R219"/>
    <mergeCell ref="B220:F220"/>
    <mergeCell ref="G220:H220"/>
    <mergeCell ref="L220:P220"/>
    <mergeCell ref="Q220:R220"/>
    <mergeCell ref="B225:F225"/>
    <mergeCell ref="G225:I225"/>
    <mergeCell ref="L225:P225"/>
    <mergeCell ref="Q225:S225"/>
    <mergeCell ref="B226:F226"/>
    <mergeCell ref="G226:I226"/>
    <mergeCell ref="L226:P226"/>
    <mergeCell ref="Q226:S226"/>
    <mergeCell ref="B223:F223"/>
    <mergeCell ref="G223:H223"/>
    <mergeCell ref="L223:P223"/>
    <mergeCell ref="Q223:R223"/>
    <mergeCell ref="B224:F224"/>
    <mergeCell ref="G224:H224"/>
    <mergeCell ref="L224:P224"/>
    <mergeCell ref="Q224:R224"/>
    <mergeCell ref="Q237:R238"/>
    <mergeCell ref="S237:S238"/>
    <mergeCell ref="A239:A240"/>
    <mergeCell ref="B239:F240"/>
    <mergeCell ref="G239:I240"/>
    <mergeCell ref="K239:K240"/>
    <mergeCell ref="L239:P240"/>
    <mergeCell ref="Q239:S240"/>
    <mergeCell ref="B227:F227"/>
    <mergeCell ref="G227:I227"/>
    <mergeCell ref="L227:P227"/>
    <mergeCell ref="Q227:S227"/>
    <mergeCell ref="A237:A238"/>
    <mergeCell ref="B237:F238"/>
    <mergeCell ref="G237:H238"/>
    <mergeCell ref="I237:I238"/>
    <mergeCell ref="K237:K238"/>
    <mergeCell ref="L237:P238"/>
    <mergeCell ref="B241:F241"/>
    <mergeCell ref="G241:H243"/>
    <mergeCell ref="I241:I242"/>
    <mergeCell ref="L241:P241"/>
    <mergeCell ref="Q241:R243"/>
    <mergeCell ref="S241:S242"/>
    <mergeCell ref="B242:F242"/>
    <mergeCell ref="L242:P242"/>
    <mergeCell ref="B243:F243"/>
    <mergeCell ref="L243:P243"/>
    <mergeCell ref="B248:F248"/>
    <mergeCell ref="L248:P248"/>
    <mergeCell ref="B244:F244"/>
    <mergeCell ref="G244:H244"/>
    <mergeCell ref="L244:P244"/>
    <mergeCell ref="Q244:R244"/>
    <mergeCell ref="B245:F245"/>
    <mergeCell ref="G245:H245"/>
    <mergeCell ref="L245:P245"/>
    <mergeCell ref="Q245:R245"/>
    <mergeCell ref="B246:F246"/>
    <mergeCell ref="G246:H249"/>
    <mergeCell ref="I246:I248"/>
    <mergeCell ref="L246:P246"/>
    <mergeCell ref="B253:F253"/>
    <mergeCell ref="G253:H257"/>
    <mergeCell ref="I253:I257"/>
    <mergeCell ref="L253:P253"/>
    <mergeCell ref="Q246:R249"/>
    <mergeCell ref="B249:F249"/>
    <mergeCell ref="L249:P249"/>
    <mergeCell ref="Q253:R257"/>
    <mergeCell ref="S253:S257"/>
    <mergeCell ref="Q250:R251"/>
    <mergeCell ref="S250:S251"/>
    <mergeCell ref="B251:F251"/>
    <mergeCell ref="L251:P251"/>
    <mergeCell ref="B252:F252"/>
    <mergeCell ref="G252:H252"/>
    <mergeCell ref="L252:P252"/>
    <mergeCell ref="Q252:R252"/>
    <mergeCell ref="B250:F250"/>
    <mergeCell ref="G250:H251"/>
    <mergeCell ref="I250:I251"/>
    <mergeCell ref="L250:P250"/>
    <mergeCell ref="S246:S248"/>
    <mergeCell ref="B247:F247"/>
    <mergeCell ref="L247:P247"/>
    <mergeCell ref="A254:A257"/>
    <mergeCell ref="B254:F254"/>
    <mergeCell ref="K254:K257"/>
    <mergeCell ref="L254:P254"/>
    <mergeCell ref="B255:F255"/>
    <mergeCell ref="L255:P255"/>
    <mergeCell ref="B256:F256"/>
    <mergeCell ref="L256:P256"/>
    <mergeCell ref="B257:F257"/>
    <mergeCell ref="L257:P257"/>
    <mergeCell ref="S260:S261"/>
    <mergeCell ref="B261:F261"/>
    <mergeCell ref="L261:P261"/>
    <mergeCell ref="B258:F258"/>
    <mergeCell ref="G258:H258"/>
    <mergeCell ref="L258:P258"/>
    <mergeCell ref="Q258:R258"/>
    <mergeCell ref="B259:F259"/>
    <mergeCell ref="G259:H259"/>
    <mergeCell ref="L259:P259"/>
    <mergeCell ref="Q259:R259"/>
    <mergeCell ref="B262:F262"/>
    <mergeCell ref="G262:H262"/>
    <mergeCell ref="L262:P262"/>
    <mergeCell ref="Q262:R262"/>
    <mergeCell ref="B263:F263"/>
    <mergeCell ref="G263:H263"/>
    <mergeCell ref="L263:P263"/>
    <mergeCell ref="Q263:R263"/>
    <mergeCell ref="B260:F260"/>
    <mergeCell ref="G260:H261"/>
    <mergeCell ref="I260:I261"/>
    <mergeCell ref="L260:P260"/>
    <mergeCell ref="Q260:R261"/>
    <mergeCell ref="B266:F266"/>
    <mergeCell ref="G266:I266"/>
    <mergeCell ref="L266:P266"/>
    <mergeCell ref="Q266:S266"/>
    <mergeCell ref="L267:S267"/>
    <mergeCell ref="B264:F264"/>
    <mergeCell ref="G264:I264"/>
    <mergeCell ref="L264:P264"/>
    <mergeCell ref="Q264:S264"/>
    <mergeCell ref="B265:F265"/>
    <mergeCell ref="G265:I265"/>
    <mergeCell ref="L265:P265"/>
    <mergeCell ref="Q265:S26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S148"/>
  <sheetViews>
    <sheetView topLeftCell="A43" zoomScale="70" zoomScaleNormal="70" workbookViewId="0">
      <selection activeCell="O132" sqref="O132"/>
    </sheetView>
  </sheetViews>
  <sheetFormatPr defaultColWidth="9.140625" defaultRowHeight="15" x14ac:dyDescent="0.25"/>
  <cols>
    <col min="1" max="1" width="3.42578125" customWidth="1"/>
    <col min="6" max="6" width="13.7109375" customWidth="1"/>
    <col min="7" max="7" width="10" customWidth="1"/>
    <col min="9" max="9" width="44.5703125" customWidth="1"/>
    <col min="10" max="10" width="0.42578125" customWidth="1"/>
    <col min="11" max="11" width="4.42578125" customWidth="1"/>
    <col min="16" max="16" width="12.7109375" customWidth="1"/>
    <col min="17" max="17" width="10.28515625" customWidth="1"/>
    <col min="19" max="19" width="42.5703125" customWidth="1"/>
    <col min="257" max="257" width="3.42578125" customWidth="1"/>
    <col min="262" max="262" width="13.7109375" customWidth="1"/>
    <col min="263" max="263" width="10" customWidth="1"/>
    <col min="265" max="265" width="44.5703125" customWidth="1"/>
    <col min="266" max="266" width="0.42578125" customWidth="1"/>
    <col min="267" max="267" width="4.42578125" customWidth="1"/>
    <col min="272" max="272" width="12.7109375" customWidth="1"/>
    <col min="273" max="273" width="10.28515625" customWidth="1"/>
    <col min="275" max="275" width="42.5703125" customWidth="1"/>
    <col min="513" max="513" width="3.42578125" customWidth="1"/>
    <col min="518" max="518" width="13.7109375" customWidth="1"/>
    <col min="519" max="519" width="10" customWidth="1"/>
    <col min="521" max="521" width="44.5703125" customWidth="1"/>
    <col min="522" max="522" width="0.42578125" customWidth="1"/>
    <col min="523" max="523" width="4.42578125" customWidth="1"/>
    <col min="528" max="528" width="12.7109375" customWidth="1"/>
    <col min="529" max="529" width="10.28515625" customWidth="1"/>
    <col min="531" max="531" width="42.5703125" customWidth="1"/>
    <col min="769" max="769" width="3.42578125" customWidth="1"/>
    <col min="774" max="774" width="13.7109375" customWidth="1"/>
    <col min="775" max="775" width="10" customWidth="1"/>
    <col min="777" max="777" width="44.5703125" customWidth="1"/>
    <col min="778" max="778" width="0.42578125" customWidth="1"/>
    <col min="779" max="779" width="4.42578125" customWidth="1"/>
    <col min="784" max="784" width="12.7109375" customWidth="1"/>
    <col min="785" max="785" width="10.28515625" customWidth="1"/>
    <col min="787" max="787" width="42.5703125" customWidth="1"/>
    <col min="1025" max="1025" width="3.42578125" customWidth="1"/>
    <col min="1030" max="1030" width="13.7109375" customWidth="1"/>
    <col min="1031" max="1031" width="10" customWidth="1"/>
    <col min="1033" max="1033" width="44.5703125" customWidth="1"/>
    <col min="1034" max="1034" width="0.42578125" customWidth="1"/>
    <col min="1035" max="1035" width="4.42578125" customWidth="1"/>
    <col min="1040" max="1040" width="12.7109375" customWidth="1"/>
    <col min="1041" max="1041" width="10.28515625" customWidth="1"/>
    <col min="1043" max="1043" width="42.5703125" customWidth="1"/>
    <col min="1281" max="1281" width="3.42578125" customWidth="1"/>
    <col min="1286" max="1286" width="13.7109375" customWidth="1"/>
    <col min="1287" max="1287" width="10" customWidth="1"/>
    <col min="1289" max="1289" width="44.5703125" customWidth="1"/>
    <col min="1290" max="1290" width="0.42578125" customWidth="1"/>
    <col min="1291" max="1291" width="4.42578125" customWidth="1"/>
    <col min="1296" max="1296" width="12.7109375" customWidth="1"/>
    <col min="1297" max="1297" width="10.28515625" customWidth="1"/>
    <col min="1299" max="1299" width="42.5703125" customWidth="1"/>
    <col min="1537" max="1537" width="3.42578125" customWidth="1"/>
    <col min="1542" max="1542" width="13.7109375" customWidth="1"/>
    <col min="1543" max="1543" width="10" customWidth="1"/>
    <col min="1545" max="1545" width="44.5703125" customWidth="1"/>
    <col min="1546" max="1546" width="0.42578125" customWidth="1"/>
    <col min="1547" max="1547" width="4.42578125" customWidth="1"/>
    <col min="1552" max="1552" width="12.7109375" customWidth="1"/>
    <col min="1553" max="1553" width="10.28515625" customWidth="1"/>
    <col min="1555" max="1555" width="42.5703125" customWidth="1"/>
    <col min="1793" max="1793" width="3.42578125" customWidth="1"/>
    <col min="1798" max="1798" width="13.7109375" customWidth="1"/>
    <col min="1799" max="1799" width="10" customWidth="1"/>
    <col min="1801" max="1801" width="44.5703125" customWidth="1"/>
    <col min="1802" max="1802" width="0.42578125" customWidth="1"/>
    <col min="1803" max="1803" width="4.42578125" customWidth="1"/>
    <col min="1808" max="1808" width="12.7109375" customWidth="1"/>
    <col min="1809" max="1809" width="10.28515625" customWidth="1"/>
    <col min="1811" max="1811" width="42.5703125" customWidth="1"/>
    <col min="2049" max="2049" width="3.42578125" customWidth="1"/>
    <col min="2054" max="2054" width="13.7109375" customWidth="1"/>
    <col min="2055" max="2055" width="10" customWidth="1"/>
    <col min="2057" max="2057" width="44.5703125" customWidth="1"/>
    <col min="2058" max="2058" width="0.42578125" customWidth="1"/>
    <col min="2059" max="2059" width="4.42578125" customWidth="1"/>
    <col min="2064" max="2064" width="12.7109375" customWidth="1"/>
    <col min="2065" max="2065" width="10.28515625" customWidth="1"/>
    <col min="2067" max="2067" width="42.5703125" customWidth="1"/>
    <col min="2305" max="2305" width="3.42578125" customWidth="1"/>
    <col min="2310" max="2310" width="13.7109375" customWidth="1"/>
    <col min="2311" max="2311" width="10" customWidth="1"/>
    <col min="2313" max="2313" width="44.5703125" customWidth="1"/>
    <col min="2314" max="2314" width="0.42578125" customWidth="1"/>
    <col min="2315" max="2315" width="4.42578125" customWidth="1"/>
    <col min="2320" max="2320" width="12.7109375" customWidth="1"/>
    <col min="2321" max="2321" width="10.28515625" customWidth="1"/>
    <col min="2323" max="2323" width="42.5703125" customWidth="1"/>
    <col min="2561" max="2561" width="3.42578125" customWidth="1"/>
    <col min="2566" max="2566" width="13.7109375" customWidth="1"/>
    <col min="2567" max="2567" width="10" customWidth="1"/>
    <col min="2569" max="2569" width="44.5703125" customWidth="1"/>
    <col min="2570" max="2570" width="0.42578125" customWidth="1"/>
    <col min="2571" max="2571" width="4.42578125" customWidth="1"/>
    <col min="2576" max="2576" width="12.7109375" customWidth="1"/>
    <col min="2577" max="2577" width="10.28515625" customWidth="1"/>
    <col min="2579" max="2579" width="42.5703125" customWidth="1"/>
    <col min="2817" max="2817" width="3.42578125" customWidth="1"/>
    <col min="2822" max="2822" width="13.7109375" customWidth="1"/>
    <col min="2823" max="2823" width="10" customWidth="1"/>
    <col min="2825" max="2825" width="44.5703125" customWidth="1"/>
    <col min="2826" max="2826" width="0.42578125" customWidth="1"/>
    <col min="2827" max="2827" width="4.42578125" customWidth="1"/>
    <col min="2832" max="2832" width="12.7109375" customWidth="1"/>
    <col min="2833" max="2833" width="10.28515625" customWidth="1"/>
    <col min="2835" max="2835" width="42.5703125" customWidth="1"/>
    <col min="3073" max="3073" width="3.42578125" customWidth="1"/>
    <col min="3078" max="3078" width="13.7109375" customWidth="1"/>
    <col min="3079" max="3079" width="10" customWidth="1"/>
    <col min="3081" max="3081" width="44.5703125" customWidth="1"/>
    <col min="3082" max="3082" width="0.42578125" customWidth="1"/>
    <col min="3083" max="3083" width="4.42578125" customWidth="1"/>
    <col min="3088" max="3088" width="12.7109375" customWidth="1"/>
    <col min="3089" max="3089" width="10.28515625" customWidth="1"/>
    <col min="3091" max="3091" width="42.5703125" customWidth="1"/>
    <col min="3329" max="3329" width="3.42578125" customWidth="1"/>
    <col min="3334" max="3334" width="13.7109375" customWidth="1"/>
    <col min="3335" max="3335" width="10" customWidth="1"/>
    <col min="3337" max="3337" width="44.5703125" customWidth="1"/>
    <col min="3338" max="3338" width="0.42578125" customWidth="1"/>
    <col min="3339" max="3339" width="4.42578125" customWidth="1"/>
    <col min="3344" max="3344" width="12.7109375" customWidth="1"/>
    <col min="3345" max="3345" width="10.28515625" customWidth="1"/>
    <col min="3347" max="3347" width="42.5703125" customWidth="1"/>
    <col min="3585" max="3585" width="3.42578125" customWidth="1"/>
    <col min="3590" max="3590" width="13.7109375" customWidth="1"/>
    <col min="3591" max="3591" width="10" customWidth="1"/>
    <col min="3593" max="3593" width="44.5703125" customWidth="1"/>
    <col min="3594" max="3594" width="0.42578125" customWidth="1"/>
    <col min="3595" max="3595" width="4.42578125" customWidth="1"/>
    <col min="3600" max="3600" width="12.7109375" customWidth="1"/>
    <col min="3601" max="3601" width="10.28515625" customWidth="1"/>
    <col min="3603" max="3603" width="42.5703125" customWidth="1"/>
    <col min="3841" max="3841" width="3.42578125" customWidth="1"/>
    <col min="3846" max="3846" width="13.7109375" customWidth="1"/>
    <col min="3847" max="3847" width="10" customWidth="1"/>
    <col min="3849" max="3849" width="44.5703125" customWidth="1"/>
    <col min="3850" max="3850" width="0.42578125" customWidth="1"/>
    <col min="3851" max="3851" width="4.42578125" customWidth="1"/>
    <col min="3856" max="3856" width="12.7109375" customWidth="1"/>
    <col min="3857" max="3857" width="10.28515625" customWidth="1"/>
    <col min="3859" max="3859" width="42.5703125" customWidth="1"/>
    <col min="4097" max="4097" width="3.42578125" customWidth="1"/>
    <col min="4102" max="4102" width="13.7109375" customWidth="1"/>
    <col min="4103" max="4103" width="10" customWidth="1"/>
    <col min="4105" max="4105" width="44.5703125" customWidth="1"/>
    <col min="4106" max="4106" width="0.42578125" customWidth="1"/>
    <col min="4107" max="4107" width="4.42578125" customWidth="1"/>
    <col min="4112" max="4112" width="12.7109375" customWidth="1"/>
    <col min="4113" max="4113" width="10.28515625" customWidth="1"/>
    <col min="4115" max="4115" width="42.5703125" customWidth="1"/>
    <col min="4353" max="4353" width="3.42578125" customWidth="1"/>
    <col min="4358" max="4358" width="13.7109375" customWidth="1"/>
    <col min="4359" max="4359" width="10" customWidth="1"/>
    <col min="4361" max="4361" width="44.5703125" customWidth="1"/>
    <col min="4362" max="4362" width="0.42578125" customWidth="1"/>
    <col min="4363" max="4363" width="4.42578125" customWidth="1"/>
    <col min="4368" max="4368" width="12.7109375" customWidth="1"/>
    <col min="4369" max="4369" width="10.28515625" customWidth="1"/>
    <col min="4371" max="4371" width="42.5703125" customWidth="1"/>
    <col min="4609" max="4609" width="3.42578125" customWidth="1"/>
    <col min="4614" max="4614" width="13.7109375" customWidth="1"/>
    <col min="4615" max="4615" width="10" customWidth="1"/>
    <col min="4617" max="4617" width="44.5703125" customWidth="1"/>
    <col min="4618" max="4618" width="0.42578125" customWidth="1"/>
    <col min="4619" max="4619" width="4.42578125" customWidth="1"/>
    <col min="4624" max="4624" width="12.7109375" customWidth="1"/>
    <col min="4625" max="4625" width="10.28515625" customWidth="1"/>
    <col min="4627" max="4627" width="42.5703125" customWidth="1"/>
    <col min="4865" max="4865" width="3.42578125" customWidth="1"/>
    <col min="4870" max="4870" width="13.7109375" customWidth="1"/>
    <col min="4871" max="4871" width="10" customWidth="1"/>
    <col min="4873" max="4873" width="44.5703125" customWidth="1"/>
    <col min="4874" max="4874" width="0.42578125" customWidth="1"/>
    <col min="4875" max="4875" width="4.42578125" customWidth="1"/>
    <col min="4880" max="4880" width="12.7109375" customWidth="1"/>
    <col min="4881" max="4881" width="10.28515625" customWidth="1"/>
    <col min="4883" max="4883" width="42.5703125" customWidth="1"/>
    <col min="5121" max="5121" width="3.42578125" customWidth="1"/>
    <col min="5126" max="5126" width="13.7109375" customWidth="1"/>
    <col min="5127" max="5127" width="10" customWidth="1"/>
    <col min="5129" max="5129" width="44.5703125" customWidth="1"/>
    <col min="5130" max="5130" width="0.42578125" customWidth="1"/>
    <col min="5131" max="5131" width="4.42578125" customWidth="1"/>
    <col min="5136" max="5136" width="12.7109375" customWidth="1"/>
    <col min="5137" max="5137" width="10.28515625" customWidth="1"/>
    <col min="5139" max="5139" width="42.5703125" customWidth="1"/>
    <col min="5377" max="5377" width="3.42578125" customWidth="1"/>
    <col min="5382" max="5382" width="13.7109375" customWidth="1"/>
    <col min="5383" max="5383" width="10" customWidth="1"/>
    <col min="5385" max="5385" width="44.5703125" customWidth="1"/>
    <col min="5386" max="5386" width="0.42578125" customWidth="1"/>
    <col min="5387" max="5387" width="4.42578125" customWidth="1"/>
    <col min="5392" max="5392" width="12.7109375" customWidth="1"/>
    <col min="5393" max="5393" width="10.28515625" customWidth="1"/>
    <col min="5395" max="5395" width="42.5703125" customWidth="1"/>
    <col min="5633" max="5633" width="3.42578125" customWidth="1"/>
    <col min="5638" max="5638" width="13.7109375" customWidth="1"/>
    <col min="5639" max="5639" width="10" customWidth="1"/>
    <col min="5641" max="5641" width="44.5703125" customWidth="1"/>
    <col min="5642" max="5642" width="0.42578125" customWidth="1"/>
    <col min="5643" max="5643" width="4.42578125" customWidth="1"/>
    <col min="5648" max="5648" width="12.7109375" customWidth="1"/>
    <col min="5649" max="5649" width="10.28515625" customWidth="1"/>
    <col min="5651" max="5651" width="42.5703125" customWidth="1"/>
    <col min="5889" max="5889" width="3.42578125" customWidth="1"/>
    <col min="5894" max="5894" width="13.7109375" customWidth="1"/>
    <col min="5895" max="5895" width="10" customWidth="1"/>
    <col min="5897" max="5897" width="44.5703125" customWidth="1"/>
    <col min="5898" max="5898" width="0.42578125" customWidth="1"/>
    <col min="5899" max="5899" width="4.42578125" customWidth="1"/>
    <col min="5904" max="5904" width="12.7109375" customWidth="1"/>
    <col min="5905" max="5905" width="10.28515625" customWidth="1"/>
    <col min="5907" max="5907" width="42.5703125" customWidth="1"/>
    <col min="6145" max="6145" width="3.42578125" customWidth="1"/>
    <col min="6150" max="6150" width="13.7109375" customWidth="1"/>
    <col min="6151" max="6151" width="10" customWidth="1"/>
    <col min="6153" max="6153" width="44.5703125" customWidth="1"/>
    <col min="6154" max="6154" width="0.42578125" customWidth="1"/>
    <col min="6155" max="6155" width="4.42578125" customWidth="1"/>
    <col min="6160" max="6160" width="12.7109375" customWidth="1"/>
    <col min="6161" max="6161" width="10.28515625" customWidth="1"/>
    <col min="6163" max="6163" width="42.5703125" customWidth="1"/>
    <col min="6401" max="6401" width="3.42578125" customWidth="1"/>
    <col min="6406" max="6406" width="13.7109375" customWidth="1"/>
    <col min="6407" max="6407" width="10" customWidth="1"/>
    <col min="6409" max="6409" width="44.5703125" customWidth="1"/>
    <col min="6410" max="6410" width="0.42578125" customWidth="1"/>
    <col min="6411" max="6411" width="4.42578125" customWidth="1"/>
    <col min="6416" max="6416" width="12.7109375" customWidth="1"/>
    <col min="6417" max="6417" width="10.28515625" customWidth="1"/>
    <col min="6419" max="6419" width="42.5703125" customWidth="1"/>
    <col min="6657" max="6657" width="3.42578125" customWidth="1"/>
    <col min="6662" max="6662" width="13.7109375" customWidth="1"/>
    <col min="6663" max="6663" width="10" customWidth="1"/>
    <col min="6665" max="6665" width="44.5703125" customWidth="1"/>
    <col min="6666" max="6666" width="0.42578125" customWidth="1"/>
    <col min="6667" max="6667" width="4.42578125" customWidth="1"/>
    <col min="6672" max="6672" width="12.7109375" customWidth="1"/>
    <col min="6673" max="6673" width="10.28515625" customWidth="1"/>
    <col min="6675" max="6675" width="42.5703125" customWidth="1"/>
    <col min="6913" max="6913" width="3.42578125" customWidth="1"/>
    <col min="6918" max="6918" width="13.7109375" customWidth="1"/>
    <col min="6919" max="6919" width="10" customWidth="1"/>
    <col min="6921" max="6921" width="44.5703125" customWidth="1"/>
    <col min="6922" max="6922" width="0.42578125" customWidth="1"/>
    <col min="6923" max="6923" width="4.42578125" customWidth="1"/>
    <col min="6928" max="6928" width="12.7109375" customWidth="1"/>
    <col min="6929" max="6929" width="10.28515625" customWidth="1"/>
    <col min="6931" max="6931" width="42.5703125" customWidth="1"/>
    <col min="7169" max="7169" width="3.42578125" customWidth="1"/>
    <col min="7174" max="7174" width="13.7109375" customWidth="1"/>
    <col min="7175" max="7175" width="10" customWidth="1"/>
    <col min="7177" max="7177" width="44.5703125" customWidth="1"/>
    <col min="7178" max="7178" width="0.42578125" customWidth="1"/>
    <col min="7179" max="7179" width="4.42578125" customWidth="1"/>
    <col min="7184" max="7184" width="12.7109375" customWidth="1"/>
    <col min="7185" max="7185" width="10.28515625" customWidth="1"/>
    <col min="7187" max="7187" width="42.5703125" customWidth="1"/>
    <col min="7425" max="7425" width="3.42578125" customWidth="1"/>
    <col min="7430" max="7430" width="13.7109375" customWidth="1"/>
    <col min="7431" max="7431" width="10" customWidth="1"/>
    <col min="7433" max="7433" width="44.5703125" customWidth="1"/>
    <col min="7434" max="7434" width="0.42578125" customWidth="1"/>
    <col min="7435" max="7435" width="4.42578125" customWidth="1"/>
    <col min="7440" max="7440" width="12.7109375" customWidth="1"/>
    <col min="7441" max="7441" width="10.28515625" customWidth="1"/>
    <col min="7443" max="7443" width="42.5703125" customWidth="1"/>
    <col min="7681" max="7681" width="3.42578125" customWidth="1"/>
    <col min="7686" max="7686" width="13.7109375" customWidth="1"/>
    <col min="7687" max="7687" width="10" customWidth="1"/>
    <col min="7689" max="7689" width="44.5703125" customWidth="1"/>
    <col min="7690" max="7690" width="0.42578125" customWidth="1"/>
    <col min="7691" max="7691" width="4.42578125" customWidth="1"/>
    <col min="7696" max="7696" width="12.7109375" customWidth="1"/>
    <col min="7697" max="7697" width="10.28515625" customWidth="1"/>
    <col min="7699" max="7699" width="42.5703125" customWidth="1"/>
    <col min="7937" max="7937" width="3.42578125" customWidth="1"/>
    <col min="7942" max="7942" width="13.7109375" customWidth="1"/>
    <col min="7943" max="7943" width="10" customWidth="1"/>
    <col min="7945" max="7945" width="44.5703125" customWidth="1"/>
    <col min="7946" max="7946" width="0.42578125" customWidth="1"/>
    <col min="7947" max="7947" width="4.42578125" customWidth="1"/>
    <col min="7952" max="7952" width="12.7109375" customWidth="1"/>
    <col min="7953" max="7953" width="10.28515625" customWidth="1"/>
    <col min="7955" max="7955" width="42.5703125" customWidth="1"/>
    <col min="8193" max="8193" width="3.42578125" customWidth="1"/>
    <col min="8198" max="8198" width="13.7109375" customWidth="1"/>
    <col min="8199" max="8199" width="10" customWidth="1"/>
    <col min="8201" max="8201" width="44.5703125" customWidth="1"/>
    <col min="8202" max="8202" width="0.42578125" customWidth="1"/>
    <col min="8203" max="8203" width="4.42578125" customWidth="1"/>
    <col min="8208" max="8208" width="12.7109375" customWidth="1"/>
    <col min="8209" max="8209" width="10.28515625" customWidth="1"/>
    <col min="8211" max="8211" width="42.5703125" customWidth="1"/>
    <col min="8449" max="8449" width="3.42578125" customWidth="1"/>
    <col min="8454" max="8454" width="13.7109375" customWidth="1"/>
    <col min="8455" max="8455" width="10" customWidth="1"/>
    <col min="8457" max="8457" width="44.5703125" customWidth="1"/>
    <col min="8458" max="8458" width="0.42578125" customWidth="1"/>
    <col min="8459" max="8459" width="4.42578125" customWidth="1"/>
    <col min="8464" max="8464" width="12.7109375" customWidth="1"/>
    <col min="8465" max="8465" width="10.28515625" customWidth="1"/>
    <col min="8467" max="8467" width="42.5703125" customWidth="1"/>
    <col min="8705" max="8705" width="3.42578125" customWidth="1"/>
    <col min="8710" max="8710" width="13.7109375" customWidth="1"/>
    <col min="8711" max="8711" width="10" customWidth="1"/>
    <col min="8713" max="8713" width="44.5703125" customWidth="1"/>
    <col min="8714" max="8714" width="0.42578125" customWidth="1"/>
    <col min="8715" max="8715" width="4.42578125" customWidth="1"/>
    <col min="8720" max="8720" width="12.7109375" customWidth="1"/>
    <col min="8721" max="8721" width="10.28515625" customWidth="1"/>
    <col min="8723" max="8723" width="42.5703125" customWidth="1"/>
    <col min="8961" max="8961" width="3.42578125" customWidth="1"/>
    <col min="8966" max="8966" width="13.7109375" customWidth="1"/>
    <col min="8967" max="8967" width="10" customWidth="1"/>
    <col min="8969" max="8969" width="44.5703125" customWidth="1"/>
    <col min="8970" max="8970" width="0.42578125" customWidth="1"/>
    <col min="8971" max="8971" width="4.42578125" customWidth="1"/>
    <col min="8976" max="8976" width="12.7109375" customWidth="1"/>
    <col min="8977" max="8977" width="10.28515625" customWidth="1"/>
    <col min="8979" max="8979" width="42.5703125" customWidth="1"/>
    <col min="9217" max="9217" width="3.42578125" customWidth="1"/>
    <col min="9222" max="9222" width="13.7109375" customWidth="1"/>
    <col min="9223" max="9223" width="10" customWidth="1"/>
    <col min="9225" max="9225" width="44.5703125" customWidth="1"/>
    <col min="9226" max="9226" width="0.42578125" customWidth="1"/>
    <col min="9227" max="9227" width="4.42578125" customWidth="1"/>
    <col min="9232" max="9232" width="12.7109375" customWidth="1"/>
    <col min="9233" max="9233" width="10.28515625" customWidth="1"/>
    <col min="9235" max="9235" width="42.5703125" customWidth="1"/>
    <col min="9473" max="9473" width="3.42578125" customWidth="1"/>
    <col min="9478" max="9478" width="13.7109375" customWidth="1"/>
    <col min="9479" max="9479" width="10" customWidth="1"/>
    <col min="9481" max="9481" width="44.5703125" customWidth="1"/>
    <col min="9482" max="9482" width="0.42578125" customWidth="1"/>
    <col min="9483" max="9483" width="4.42578125" customWidth="1"/>
    <col min="9488" max="9488" width="12.7109375" customWidth="1"/>
    <col min="9489" max="9489" width="10.28515625" customWidth="1"/>
    <col min="9491" max="9491" width="42.5703125" customWidth="1"/>
    <col min="9729" max="9729" width="3.42578125" customWidth="1"/>
    <col min="9734" max="9734" width="13.7109375" customWidth="1"/>
    <col min="9735" max="9735" width="10" customWidth="1"/>
    <col min="9737" max="9737" width="44.5703125" customWidth="1"/>
    <col min="9738" max="9738" width="0.42578125" customWidth="1"/>
    <col min="9739" max="9739" width="4.42578125" customWidth="1"/>
    <col min="9744" max="9744" width="12.7109375" customWidth="1"/>
    <col min="9745" max="9745" width="10.28515625" customWidth="1"/>
    <col min="9747" max="9747" width="42.5703125" customWidth="1"/>
    <col min="9985" max="9985" width="3.42578125" customWidth="1"/>
    <col min="9990" max="9990" width="13.7109375" customWidth="1"/>
    <col min="9991" max="9991" width="10" customWidth="1"/>
    <col min="9993" max="9993" width="44.5703125" customWidth="1"/>
    <col min="9994" max="9994" width="0.42578125" customWidth="1"/>
    <col min="9995" max="9995" width="4.42578125" customWidth="1"/>
    <col min="10000" max="10000" width="12.7109375" customWidth="1"/>
    <col min="10001" max="10001" width="10.28515625" customWidth="1"/>
    <col min="10003" max="10003" width="42.5703125" customWidth="1"/>
    <col min="10241" max="10241" width="3.42578125" customWidth="1"/>
    <col min="10246" max="10246" width="13.7109375" customWidth="1"/>
    <col min="10247" max="10247" width="10" customWidth="1"/>
    <col min="10249" max="10249" width="44.5703125" customWidth="1"/>
    <col min="10250" max="10250" width="0.42578125" customWidth="1"/>
    <col min="10251" max="10251" width="4.42578125" customWidth="1"/>
    <col min="10256" max="10256" width="12.7109375" customWidth="1"/>
    <col min="10257" max="10257" width="10.28515625" customWidth="1"/>
    <col min="10259" max="10259" width="42.5703125" customWidth="1"/>
    <col min="10497" max="10497" width="3.42578125" customWidth="1"/>
    <col min="10502" max="10502" width="13.7109375" customWidth="1"/>
    <col min="10503" max="10503" width="10" customWidth="1"/>
    <col min="10505" max="10505" width="44.5703125" customWidth="1"/>
    <col min="10506" max="10506" width="0.42578125" customWidth="1"/>
    <col min="10507" max="10507" width="4.42578125" customWidth="1"/>
    <col min="10512" max="10512" width="12.7109375" customWidth="1"/>
    <col min="10513" max="10513" width="10.28515625" customWidth="1"/>
    <col min="10515" max="10515" width="42.5703125" customWidth="1"/>
    <col min="10753" max="10753" width="3.42578125" customWidth="1"/>
    <col min="10758" max="10758" width="13.7109375" customWidth="1"/>
    <col min="10759" max="10759" width="10" customWidth="1"/>
    <col min="10761" max="10761" width="44.5703125" customWidth="1"/>
    <col min="10762" max="10762" width="0.42578125" customWidth="1"/>
    <col min="10763" max="10763" width="4.42578125" customWidth="1"/>
    <col min="10768" max="10768" width="12.7109375" customWidth="1"/>
    <col min="10769" max="10769" width="10.28515625" customWidth="1"/>
    <col min="10771" max="10771" width="42.5703125" customWidth="1"/>
    <col min="11009" max="11009" width="3.42578125" customWidth="1"/>
    <col min="11014" max="11014" width="13.7109375" customWidth="1"/>
    <col min="11015" max="11015" width="10" customWidth="1"/>
    <col min="11017" max="11017" width="44.5703125" customWidth="1"/>
    <col min="11018" max="11018" width="0.42578125" customWidth="1"/>
    <col min="11019" max="11019" width="4.42578125" customWidth="1"/>
    <col min="11024" max="11024" width="12.7109375" customWidth="1"/>
    <col min="11025" max="11025" width="10.28515625" customWidth="1"/>
    <col min="11027" max="11027" width="42.5703125" customWidth="1"/>
    <col min="11265" max="11265" width="3.42578125" customWidth="1"/>
    <col min="11270" max="11270" width="13.7109375" customWidth="1"/>
    <col min="11271" max="11271" width="10" customWidth="1"/>
    <col min="11273" max="11273" width="44.5703125" customWidth="1"/>
    <col min="11274" max="11274" width="0.42578125" customWidth="1"/>
    <col min="11275" max="11275" width="4.42578125" customWidth="1"/>
    <col min="11280" max="11280" width="12.7109375" customWidth="1"/>
    <col min="11281" max="11281" width="10.28515625" customWidth="1"/>
    <col min="11283" max="11283" width="42.5703125" customWidth="1"/>
    <col min="11521" max="11521" width="3.42578125" customWidth="1"/>
    <col min="11526" max="11526" width="13.7109375" customWidth="1"/>
    <col min="11527" max="11527" width="10" customWidth="1"/>
    <col min="11529" max="11529" width="44.5703125" customWidth="1"/>
    <col min="11530" max="11530" width="0.42578125" customWidth="1"/>
    <col min="11531" max="11531" width="4.42578125" customWidth="1"/>
    <col min="11536" max="11536" width="12.7109375" customWidth="1"/>
    <col min="11537" max="11537" width="10.28515625" customWidth="1"/>
    <col min="11539" max="11539" width="42.5703125" customWidth="1"/>
    <col min="11777" max="11777" width="3.42578125" customWidth="1"/>
    <col min="11782" max="11782" width="13.7109375" customWidth="1"/>
    <col min="11783" max="11783" width="10" customWidth="1"/>
    <col min="11785" max="11785" width="44.5703125" customWidth="1"/>
    <col min="11786" max="11786" width="0.42578125" customWidth="1"/>
    <col min="11787" max="11787" width="4.42578125" customWidth="1"/>
    <col min="11792" max="11792" width="12.7109375" customWidth="1"/>
    <col min="11793" max="11793" width="10.28515625" customWidth="1"/>
    <col min="11795" max="11795" width="42.5703125" customWidth="1"/>
    <col min="12033" max="12033" width="3.42578125" customWidth="1"/>
    <col min="12038" max="12038" width="13.7109375" customWidth="1"/>
    <col min="12039" max="12039" width="10" customWidth="1"/>
    <col min="12041" max="12041" width="44.5703125" customWidth="1"/>
    <col min="12042" max="12042" width="0.42578125" customWidth="1"/>
    <col min="12043" max="12043" width="4.42578125" customWidth="1"/>
    <col min="12048" max="12048" width="12.7109375" customWidth="1"/>
    <col min="12049" max="12049" width="10.28515625" customWidth="1"/>
    <col min="12051" max="12051" width="42.5703125" customWidth="1"/>
    <col min="12289" max="12289" width="3.42578125" customWidth="1"/>
    <col min="12294" max="12294" width="13.7109375" customWidth="1"/>
    <col min="12295" max="12295" width="10" customWidth="1"/>
    <col min="12297" max="12297" width="44.5703125" customWidth="1"/>
    <col min="12298" max="12298" width="0.42578125" customWidth="1"/>
    <col min="12299" max="12299" width="4.42578125" customWidth="1"/>
    <col min="12304" max="12304" width="12.7109375" customWidth="1"/>
    <col min="12305" max="12305" width="10.28515625" customWidth="1"/>
    <col min="12307" max="12307" width="42.5703125" customWidth="1"/>
    <col min="12545" max="12545" width="3.42578125" customWidth="1"/>
    <col min="12550" max="12550" width="13.7109375" customWidth="1"/>
    <col min="12551" max="12551" width="10" customWidth="1"/>
    <col min="12553" max="12553" width="44.5703125" customWidth="1"/>
    <col min="12554" max="12554" width="0.42578125" customWidth="1"/>
    <col min="12555" max="12555" width="4.42578125" customWidth="1"/>
    <col min="12560" max="12560" width="12.7109375" customWidth="1"/>
    <col min="12561" max="12561" width="10.28515625" customWidth="1"/>
    <col min="12563" max="12563" width="42.5703125" customWidth="1"/>
    <col min="12801" max="12801" width="3.42578125" customWidth="1"/>
    <col min="12806" max="12806" width="13.7109375" customWidth="1"/>
    <col min="12807" max="12807" width="10" customWidth="1"/>
    <col min="12809" max="12809" width="44.5703125" customWidth="1"/>
    <col min="12810" max="12810" width="0.42578125" customWidth="1"/>
    <col min="12811" max="12811" width="4.42578125" customWidth="1"/>
    <col min="12816" max="12816" width="12.7109375" customWidth="1"/>
    <col min="12817" max="12817" width="10.28515625" customWidth="1"/>
    <col min="12819" max="12819" width="42.5703125" customWidth="1"/>
    <col min="13057" max="13057" width="3.42578125" customWidth="1"/>
    <col min="13062" max="13062" width="13.7109375" customWidth="1"/>
    <col min="13063" max="13063" width="10" customWidth="1"/>
    <col min="13065" max="13065" width="44.5703125" customWidth="1"/>
    <col min="13066" max="13066" width="0.42578125" customWidth="1"/>
    <col min="13067" max="13067" width="4.42578125" customWidth="1"/>
    <col min="13072" max="13072" width="12.7109375" customWidth="1"/>
    <col min="13073" max="13073" width="10.28515625" customWidth="1"/>
    <col min="13075" max="13075" width="42.5703125" customWidth="1"/>
    <col min="13313" max="13313" width="3.42578125" customWidth="1"/>
    <col min="13318" max="13318" width="13.7109375" customWidth="1"/>
    <col min="13319" max="13319" width="10" customWidth="1"/>
    <col min="13321" max="13321" width="44.5703125" customWidth="1"/>
    <col min="13322" max="13322" width="0.42578125" customWidth="1"/>
    <col min="13323" max="13323" width="4.42578125" customWidth="1"/>
    <col min="13328" max="13328" width="12.7109375" customWidth="1"/>
    <col min="13329" max="13329" width="10.28515625" customWidth="1"/>
    <col min="13331" max="13331" width="42.5703125" customWidth="1"/>
    <col min="13569" max="13569" width="3.42578125" customWidth="1"/>
    <col min="13574" max="13574" width="13.7109375" customWidth="1"/>
    <col min="13575" max="13575" width="10" customWidth="1"/>
    <col min="13577" max="13577" width="44.5703125" customWidth="1"/>
    <col min="13578" max="13578" width="0.42578125" customWidth="1"/>
    <col min="13579" max="13579" width="4.42578125" customWidth="1"/>
    <col min="13584" max="13584" width="12.7109375" customWidth="1"/>
    <col min="13585" max="13585" width="10.28515625" customWidth="1"/>
    <col min="13587" max="13587" width="42.5703125" customWidth="1"/>
    <col min="13825" max="13825" width="3.42578125" customWidth="1"/>
    <col min="13830" max="13830" width="13.7109375" customWidth="1"/>
    <col min="13831" max="13831" width="10" customWidth="1"/>
    <col min="13833" max="13833" width="44.5703125" customWidth="1"/>
    <col min="13834" max="13834" width="0.42578125" customWidth="1"/>
    <col min="13835" max="13835" width="4.42578125" customWidth="1"/>
    <col min="13840" max="13840" width="12.7109375" customWidth="1"/>
    <col min="13841" max="13841" width="10.28515625" customWidth="1"/>
    <col min="13843" max="13843" width="42.5703125" customWidth="1"/>
    <col min="14081" max="14081" width="3.42578125" customWidth="1"/>
    <col min="14086" max="14086" width="13.7109375" customWidth="1"/>
    <col min="14087" max="14087" width="10" customWidth="1"/>
    <col min="14089" max="14089" width="44.5703125" customWidth="1"/>
    <col min="14090" max="14090" width="0.42578125" customWidth="1"/>
    <col min="14091" max="14091" width="4.42578125" customWidth="1"/>
    <col min="14096" max="14096" width="12.7109375" customWidth="1"/>
    <col min="14097" max="14097" width="10.28515625" customWidth="1"/>
    <col min="14099" max="14099" width="42.5703125" customWidth="1"/>
    <col min="14337" max="14337" width="3.42578125" customWidth="1"/>
    <col min="14342" max="14342" width="13.7109375" customWidth="1"/>
    <col min="14343" max="14343" width="10" customWidth="1"/>
    <col min="14345" max="14345" width="44.5703125" customWidth="1"/>
    <col min="14346" max="14346" width="0.42578125" customWidth="1"/>
    <col min="14347" max="14347" width="4.42578125" customWidth="1"/>
    <col min="14352" max="14352" width="12.7109375" customWidth="1"/>
    <col min="14353" max="14353" width="10.28515625" customWidth="1"/>
    <col min="14355" max="14355" width="42.5703125" customWidth="1"/>
    <col min="14593" max="14593" width="3.42578125" customWidth="1"/>
    <col min="14598" max="14598" width="13.7109375" customWidth="1"/>
    <col min="14599" max="14599" width="10" customWidth="1"/>
    <col min="14601" max="14601" width="44.5703125" customWidth="1"/>
    <col min="14602" max="14602" width="0.42578125" customWidth="1"/>
    <col min="14603" max="14603" width="4.42578125" customWidth="1"/>
    <col min="14608" max="14608" width="12.7109375" customWidth="1"/>
    <col min="14609" max="14609" width="10.28515625" customWidth="1"/>
    <col min="14611" max="14611" width="42.5703125" customWidth="1"/>
    <col min="14849" max="14849" width="3.42578125" customWidth="1"/>
    <col min="14854" max="14854" width="13.7109375" customWidth="1"/>
    <col min="14855" max="14855" width="10" customWidth="1"/>
    <col min="14857" max="14857" width="44.5703125" customWidth="1"/>
    <col min="14858" max="14858" width="0.42578125" customWidth="1"/>
    <col min="14859" max="14859" width="4.42578125" customWidth="1"/>
    <col min="14864" max="14864" width="12.7109375" customWidth="1"/>
    <col min="14865" max="14865" width="10.28515625" customWidth="1"/>
    <col min="14867" max="14867" width="42.5703125" customWidth="1"/>
    <col min="15105" max="15105" width="3.42578125" customWidth="1"/>
    <col min="15110" max="15110" width="13.7109375" customWidth="1"/>
    <col min="15111" max="15111" width="10" customWidth="1"/>
    <col min="15113" max="15113" width="44.5703125" customWidth="1"/>
    <col min="15114" max="15114" width="0.42578125" customWidth="1"/>
    <col min="15115" max="15115" width="4.42578125" customWidth="1"/>
    <col min="15120" max="15120" width="12.7109375" customWidth="1"/>
    <col min="15121" max="15121" width="10.28515625" customWidth="1"/>
    <col min="15123" max="15123" width="42.5703125" customWidth="1"/>
    <col min="15361" max="15361" width="3.42578125" customWidth="1"/>
    <col min="15366" max="15366" width="13.7109375" customWidth="1"/>
    <col min="15367" max="15367" width="10" customWidth="1"/>
    <col min="15369" max="15369" width="44.5703125" customWidth="1"/>
    <col min="15370" max="15370" width="0.42578125" customWidth="1"/>
    <col min="15371" max="15371" width="4.42578125" customWidth="1"/>
    <col min="15376" max="15376" width="12.7109375" customWidth="1"/>
    <col min="15377" max="15377" width="10.28515625" customWidth="1"/>
    <col min="15379" max="15379" width="42.5703125" customWidth="1"/>
    <col min="15617" max="15617" width="3.42578125" customWidth="1"/>
    <col min="15622" max="15622" width="13.7109375" customWidth="1"/>
    <col min="15623" max="15623" width="10" customWidth="1"/>
    <col min="15625" max="15625" width="44.5703125" customWidth="1"/>
    <col min="15626" max="15626" width="0.42578125" customWidth="1"/>
    <col min="15627" max="15627" width="4.42578125" customWidth="1"/>
    <col min="15632" max="15632" width="12.7109375" customWidth="1"/>
    <col min="15633" max="15633" width="10.28515625" customWidth="1"/>
    <col min="15635" max="15635" width="42.5703125" customWidth="1"/>
    <col min="15873" max="15873" width="3.42578125" customWidth="1"/>
    <col min="15878" max="15878" width="13.7109375" customWidth="1"/>
    <col min="15879" max="15879" width="10" customWidth="1"/>
    <col min="15881" max="15881" width="44.5703125" customWidth="1"/>
    <col min="15882" max="15882" width="0.42578125" customWidth="1"/>
    <col min="15883" max="15883" width="4.42578125" customWidth="1"/>
    <col min="15888" max="15888" width="12.7109375" customWidth="1"/>
    <col min="15889" max="15889" width="10.28515625" customWidth="1"/>
    <col min="15891" max="15891" width="42.5703125" customWidth="1"/>
    <col min="16129" max="16129" width="3.42578125" customWidth="1"/>
    <col min="16134" max="16134" width="13.7109375" customWidth="1"/>
    <col min="16135" max="16135" width="10" customWidth="1"/>
    <col min="16137" max="16137" width="44.5703125" customWidth="1"/>
    <col min="16138" max="16138" width="0.42578125" customWidth="1"/>
    <col min="16139" max="16139" width="4.42578125" customWidth="1"/>
    <col min="16144" max="16144" width="12.7109375" customWidth="1"/>
    <col min="16145" max="16145" width="10.28515625" customWidth="1"/>
    <col min="16147" max="16147" width="42.570312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431</v>
      </c>
      <c r="E2" s="3"/>
      <c r="F2" s="3"/>
      <c r="G2" s="3"/>
      <c r="H2" s="3"/>
      <c r="I2" s="3"/>
      <c r="K2" s="3" t="s">
        <v>205</v>
      </c>
      <c r="L2" s="3"/>
      <c r="M2" s="3"/>
      <c r="N2" s="3" t="s">
        <v>432</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637.9</v>
      </c>
      <c r="G4" s="3" t="s">
        <v>207</v>
      </c>
      <c r="H4" s="3"/>
      <c r="I4" s="3"/>
      <c r="J4" s="3"/>
      <c r="K4" s="3"/>
      <c r="L4" s="5" t="s">
        <v>206</v>
      </c>
      <c r="M4" s="3"/>
      <c r="N4" s="3"/>
      <c r="O4" s="3"/>
      <c r="P4" s="3">
        <v>752.1</v>
      </c>
      <c r="Q4" s="3" t="s">
        <v>207</v>
      </c>
      <c r="R4" s="3"/>
      <c r="S4" s="3"/>
    </row>
    <row r="5" spans="1:19" ht="15" customHeight="1" x14ac:dyDescent="0.25">
      <c r="A5" s="175" t="s">
        <v>209</v>
      </c>
      <c r="B5" s="177" t="s">
        <v>210</v>
      </c>
      <c r="C5" s="178"/>
      <c r="D5" s="178"/>
      <c r="E5" s="178"/>
      <c r="F5" s="178"/>
      <c r="G5" s="180" t="s">
        <v>441</v>
      </c>
      <c r="H5" s="181"/>
      <c r="I5" s="175" t="s">
        <v>212</v>
      </c>
      <c r="J5" s="31"/>
      <c r="K5" s="175" t="s">
        <v>209</v>
      </c>
      <c r="L5" s="177" t="s">
        <v>210</v>
      </c>
      <c r="M5" s="178"/>
      <c r="N5" s="178"/>
      <c r="O5" s="178"/>
      <c r="P5" s="178"/>
      <c r="Q5" s="180" t="s">
        <v>441</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3267.26</v>
      </c>
      <c r="H7" s="191"/>
      <c r="I7" s="192"/>
      <c r="J7" s="33"/>
      <c r="K7" s="185" t="s">
        <v>213</v>
      </c>
      <c r="L7" s="187" t="s">
        <v>354</v>
      </c>
      <c r="M7" s="188"/>
      <c r="N7" s="188"/>
      <c r="O7" s="188"/>
      <c r="P7" s="188"/>
      <c r="Q7" s="190">
        <v>19202.11</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0.99*12*F4</f>
        <v>7578.2519999999995</v>
      </c>
      <c r="H9" s="164"/>
      <c r="I9" s="169" t="s">
        <v>215</v>
      </c>
      <c r="J9" s="35"/>
      <c r="K9" s="6"/>
      <c r="L9" s="161" t="s">
        <v>214</v>
      </c>
      <c r="M9" s="162"/>
      <c r="N9" s="162"/>
      <c r="O9" s="162"/>
      <c r="P9" s="162"/>
      <c r="Q9" s="163">
        <f>1*12*P4</f>
        <v>9025.2000000000007</v>
      </c>
      <c r="R9" s="164"/>
      <c r="S9" s="169" t="s">
        <v>215</v>
      </c>
    </row>
    <row r="10" spans="1:19" ht="35.2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3.5"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13.5" customHeight="1" thickBot="1" x14ac:dyDescent="0.3">
      <c r="A13" s="7"/>
      <c r="B13" s="141" t="s">
        <v>221</v>
      </c>
      <c r="C13" s="142"/>
      <c r="D13" s="142"/>
      <c r="E13" s="142"/>
      <c r="F13" s="142"/>
      <c r="G13" s="143">
        <f>0.15*12*F4</f>
        <v>1148.2199999999998</v>
      </c>
      <c r="H13" s="144"/>
      <c r="I13" s="8" t="s">
        <v>222</v>
      </c>
      <c r="J13" s="38"/>
      <c r="K13" s="7"/>
      <c r="L13" s="141" t="s">
        <v>221</v>
      </c>
      <c r="M13" s="142"/>
      <c r="N13" s="142"/>
      <c r="O13" s="142"/>
      <c r="P13" s="142"/>
      <c r="Q13" s="143">
        <f>0.25*12*P4</f>
        <v>2256.3000000000002</v>
      </c>
      <c r="R13" s="144"/>
      <c r="S13" s="8" t="s">
        <v>222</v>
      </c>
    </row>
    <row r="14" spans="1:19" ht="13.5" customHeight="1" x14ac:dyDescent="0.25">
      <c r="A14" s="9"/>
      <c r="B14" s="145" t="s">
        <v>223</v>
      </c>
      <c r="C14" s="146"/>
      <c r="D14" s="146"/>
      <c r="E14" s="146"/>
      <c r="F14" s="146"/>
      <c r="G14" s="86">
        <f>1.55*12*F4</f>
        <v>11864.94</v>
      </c>
      <c r="H14" s="147"/>
      <c r="I14" s="152" t="s">
        <v>224</v>
      </c>
      <c r="J14" s="38"/>
      <c r="K14" s="9"/>
      <c r="L14" s="145" t="s">
        <v>223</v>
      </c>
      <c r="M14" s="146"/>
      <c r="N14" s="146"/>
      <c r="O14" s="146"/>
      <c r="P14" s="146"/>
      <c r="Q14" s="86">
        <f>1.62*12*P4</f>
        <v>14620.824000000001</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c r="H18" s="87"/>
      <c r="I18" s="129" t="s">
        <v>220</v>
      </c>
      <c r="J18" s="36"/>
      <c r="K18" s="12"/>
      <c r="L18" s="125" t="s">
        <v>230</v>
      </c>
      <c r="M18" s="126"/>
      <c r="N18" s="126"/>
      <c r="O18" s="126"/>
      <c r="P18" s="126"/>
      <c r="Q18" s="86"/>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35.1" customHeight="1" thickBot="1" x14ac:dyDescent="0.3">
      <c r="A21" s="13"/>
      <c r="B21" s="84" t="s">
        <v>233</v>
      </c>
      <c r="C21" s="85"/>
      <c r="D21" s="85"/>
      <c r="E21" s="85"/>
      <c r="F21" s="85"/>
      <c r="G21" s="86">
        <f>1.44*12*F4</f>
        <v>11022.912</v>
      </c>
      <c r="H21" s="87"/>
      <c r="I21" s="317" t="s">
        <v>675</v>
      </c>
      <c r="J21" s="41"/>
      <c r="K21" s="13"/>
      <c r="L21" s="84" t="s">
        <v>233</v>
      </c>
      <c r="M21" s="85"/>
      <c r="N21" s="85"/>
      <c r="O21" s="85"/>
      <c r="P21" s="85"/>
      <c r="Q21" s="86">
        <f>1.3*12*P4</f>
        <v>11732.760000000002</v>
      </c>
      <c r="R21" s="87"/>
      <c r="S21" s="370" t="s">
        <v>676</v>
      </c>
    </row>
    <row r="22" spans="1:19" ht="24.75" customHeight="1" x14ac:dyDescent="0.25">
      <c r="A22" s="118"/>
      <c r="B22" s="121" t="s">
        <v>226</v>
      </c>
      <c r="C22" s="122"/>
      <c r="D22" s="122"/>
      <c r="E22" s="122"/>
      <c r="F22" s="122"/>
      <c r="G22" s="88"/>
      <c r="H22" s="89"/>
      <c r="I22" s="318"/>
      <c r="J22" s="41"/>
      <c r="K22" s="118"/>
      <c r="L22" s="121" t="s">
        <v>226</v>
      </c>
      <c r="M22" s="122"/>
      <c r="N22" s="122"/>
      <c r="O22" s="122"/>
      <c r="P22" s="122"/>
      <c r="Q22" s="88"/>
      <c r="R22" s="89"/>
      <c r="S22" s="371"/>
    </row>
    <row r="23" spans="1:19" ht="21.95" customHeight="1" x14ac:dyDescent="0.25">
      <c r="A23" s="119"/>
      <c r="B23" s="121" t="s">
        <v>227</v>
      </c>
      <c r="C23" s="122"/>
      <c r="D23" s="122"/>
      <c r="E23" s="122"/>
      <c r="F23" s="122"/>
      <c r="G23" s="88"/>
      <c r="H23" s="89"/>
      <c r="I23" s="318"/>
      <c r="J23" s="42"/>
      <c r="K23" s="119"/>
      <c r="L23" s="121" t="s">
        <v>227</v>
      </c>
      <c r="M23" s="122"/>
      <c r="N23" s="122"/>
      <c r="O23" s="122"/>
      <c r="P23" s="122"/>
      <c r="Q23" s="88"/>
      <c r="R23" s="89"/>
      <c r="S23" s="371"/>
    </row>
    <row r="24" spans="1:19" ht="26.1" customHeight="1" x14ac:dyDescent="0.25">
      <c r="A24" s="119"/>
      <c r="B24" s="121" t="s">
        <v>228</v>
      </c>
      <c r="C24" s="122"/>
      <c r="D24" s="122"/>
      <c r="E24" s="122"/>
      <c r="F24" s="122"/>
      <c r="G24" s="88"/>
      <c r="H24" s="89"/>
      <c r="I24" s="318"/>
      <c r="J24" s="43"/>
      <c r="K24" s="119"/>
      <c r="L24" s="121" t="s">
        <v>228</v>
      </c>
      <c r="M24" s="122"/>
      <c r="N24" s="122"/>
      <c r="O24" s="122"/>
      <c r="P24" s="122"/>
      <c r="Q24" s="88"/>
      <c r="R24" s="89"/>
      <c r="S24" s="371"/>
    </row>
    <row r="25" spans="1:19" ht="35.25" customHeight="1" thickBot="1" x14ac:dyDescent="0.3">
      <c r="A25" s="120"/>
      <c r="B25" s="123" t="s">
        <v>234</v>
      </c>
      <c r="C25" s="124"/>
      <c r="D25" s="124"/>
      <c r="E25" s="124"/>
      <c r="F25" s="124"/>
      <c r="G25" s="90"/>
      <c r="H25" s="91"/>
      <c r="I25" s="319"/>
      <c r="J25" s="44"/>
      <c r="K25" s="120"/>
      <c r="L25" s="123" t="s">
        <v>234</v>
      </c>
      <c r="M25" s="124"/>
      <c r="N25" s="124"/>
      <c r="O25" s="124"/>
      <c r="P25" s="124"/>
      <c r="Q25" s="90"/>
      <c r="R25" s="91"/>
      <c r="S25" s="372"/>
    </row>
    <row r="26" spans="1:19" ht="29.25" hidden="1" customHeight="1" x14ac:dyDescent="0.25">
      <c r="A26" s="15"/>
      <c r="B26" s="137" t="s">
        <v>248</v>
      </c>
      <c r="C26" s="138"/>
      <c r="D26" s="138"/>
      <c r="E26" s="138"/>
      <c r="F26" s="138"/>
      <c r="G26" s="139"/>
      <c r="H26" s="140"/>
      <c r="I26" s="16"/>
      <c r="J26" s="40"/>
      <c r="K26" s="15"/>
      <c r="L26" s="137" t="s">
        <v>248</v>
      </c>
      <c r="M26" s="138"/>
      <c r="N26" s="138"/>
      <c r="O26" s="138"/>
      <c r="P26" s="138"/>
      <c r="Q26" s="139"/>
      <c r="R26" s="140"/>
      <c r="S26" s="16"/>
    </row>
    <row r="27" spans="1:19" ht="33.75" hidden="1" customHeight="1" x14ac:dyDescent="0.25">
      <c r="A27" s="15"/>
      <c r="B27" s="137" t="s">
        <v>235</v>
      </c>
      <c r="C27" s="138"/>
      <c r="D27" s="138"/>
      <c r="E27" s="138"/>
      <c r="F27" s="138"/>
      <c r="G27" s="139"/>
      <c r="H27" s="140"/>
      <c r="I27" s="16"/>
      <c r="J27" s="45"/>
      <c r="K27" s="15"/>
      <c r="L27" s="137" t="s">
        <v>235</v>
      </c>
      <c r="M27" s="138"/>
      <c r="N27" s="138"/>
      <c r="O27" s="138"/>
      <c r="P27" s="138"/>
      <c r="Q27" s="139"/>
      <c r="R27" s="140"/>
      <c r="S27" s="16"/>
    </row>
    <row r="28" spans="1:19" ht="39" customHeight="1" thickBot="1" x14ac:dyDescent="0.3">
      <c r="A28" s="17"/>
      <c r="B28" s="78" t="s">
        <v>237</v>
      </c>
      <c r="C28" s="79"/>
      <c r="D28" s="79"/>
      <c r="E28" s="79"/>
      <c r="F28" s="79"/>
      <c r="G28" s="86">
        <v>7955</v>
      </c>
      <c r="H28" s="87"/>
      <c r="I28" s="108" t="s">
        <v>229</v>
      </c>
      <c r="J28" s="41"/>
      <c r="K28" s="17"/>
      <c r="L28" s="78" t="s">
        <v>237</v>
      </c>
      <c r="M28" s="79"/>
      <c r="N28" s="79"/>
      <c r="O28" s="79"/>
      <c r="P28" s="79"/>
      <c r="Q28" s="86">
        <v>7955</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39569.324000000001</v>
      </c>
      <c r="H30" s="115"/>
      <c r="I30" s="20"/>
      <c r="J30" s="47"/>
      <c r="K30" s="19"/>
      <c r="L30" s="112" t="s">
        <v>239</v>
      </c>
      <c r="M30" s="113"/>
      <c r="N30" s="113"/>
      <c r="O30" s="113"/>
      <c r="P30" s="113"/>
      <c r="Q30" s="114">
        <f>SUM(Q9:R29)</f>
        <v>45590.084000000003</v>
      </c>
      <c r="R30" s="115"/>
      <c r="S30" s="20"/>
    </row>
    <row r="31" spans="1:19" ht="20.25" customHeight="1" thickBot="1" x14ac:dyDescent="0.3">
      <c r="A31" s="21"/>
      <c r="B31" s="101" t="s">
        <v>240</v>
      </c>
      <c r="C31" s="102"/>
      <c r="D31" s="102"/>
      <c r="E31" s="102"/>
      <c r="F31" s="102"/>
      <c r="G31" s="116">
        <f>G30*1.2</f>
        <v>47483.188799999996</v>
      </c>
      <c r="H31" s="117"/>
      <c r="I31" s="22"/>
      <c r="J31" s="47"/>
      <c r="K31" s="21"/>
      <c r="L31" s="101" t="s">
        <v>240</v>
      </c>
      <c r="M31" s="102"/>
      <c r="N31" s="102"/>
      <c r="O31" s="102"/>
      <c r="P31" s="102"/>
      <c r="Q31" s="116">
        <f>Q30*1.2</f>
        <v>54708.1008</v>
      </c>
      <c r="R31" s="117"/>
      <c r="S31" s="22"/>
    </row>
    <row r="32" spans="1:19" ht="20.25" customHeight="1" thickBot="1" x14ac:dyDescent="0.3">
      <c r="A32" s="24"/>
      <c r="B32" s="96" t="s">
        <v>443</v>
      </c>
      <c r="C32" s="97"/>
      <c r="D32" s="97"/>
      <c r="E32" s="97"/>
      <c r="F32" s="97"/>
      <c r="G32" s="311">
        <v>47149.59</v>
      </c>
      <c r="H32" s="312"/>
      <c r="I32" s="313"/>
      <c r="J32" s="47"/>
      <c r="K32" s="24"/>
      <c r="L32" s="96" t="s">
        <v>443</v>
      </c>
      <c r="M32" s="97"/>
      <c r="N32" s="97"/>
      <c r="O32" s="97"/>
      <c r="P32" s="97"/>
      <c r="Q32" s="311">
        <v>54847.68</v>
      </c>
      <c r="R32" s="312"/>
      <c r="S32" s="313"/>
    </row>
    <row r="33" spans="1:19" ht="20.25" customHeight="1" thickBot="1" x14ac:dyDescent="0.3">
      <c r="A33" s="19"/>
      <c r="B33" s="101" t="s">
        <v>242</v>
      </c>
      <c r="C33" s="102"/>
      <c r="D33" s="102"/>
      <c r="E33" s="102"/>
      <c r="F33" s="102"/>
      <c r="G33" s="307">
        <v>46051.5</v>
      </c>
      <c r="H33" s="308"/>
      <c r="I33" s="309"/>
      <c r="J33" s="48"/>
      <c r="K33" s="19"/>
      <c r="L33" s="101" t="s">
        <v>242</v>
      </c>
      <c r="M33" s="102"/>
      <c r="N33" s="102"/>
      <c r="O33" s="102"/>
      <c r="P33" s="102"/>
      <c r="Q33" s="307">
        <v>51333.32</v>
      </c>
      <c r="R33" s="308"/>
      <c r="S33" s="309"/>
    </row>
    <row r="34" spans="1:19" ht="20.25" customHeight="1" thickBot="1" x14ac:dyDescent="0.3">
      <c r="A34" s="19"/>
      <c r="B34" s="106" t="s">
        <v>445</v>
      </c>
      <c r="C34" s="107"/>
      <c r="D34" s="107"/>
      <c r="E34" s="107"/>
      <c r="F34" s="107"/>
      <c r="G34" s="307">
        <v>4365.3500000000004</v>
      </c>
      <c r="H34" s="308"/>
      <c r="I34" s="309"/>
      <c r="J34" s="49"/>
      <c r="K34" s="19"/>
      <c r="L34" s="106" t="s">
        <v>444</v>
      </c>
      <c r="M34" s="107"/>
      <c r="N34" s="107"/>
      <c r="O34" s="107"/>
      <c r="P34" s="107"/>
      <c r="Q34" s="307">
        <v>22716.47</v>
      </c>
      <c r="R34" s="308"/>
      <c r="S34" s="309"/>
    </row>
    <row r="35" spans="1:19" x14ac:dyDescent="0.25">
      <c r="E35" s="50"/>
      <c r="I35" s="5"/>
      <c r="O35" s="50"/>
      <c r="S35" s="5"/>
    </row>
    <row r="36" spans="1:19" x14ac:dyDescent="0.25">
      <c r="A36" s="3"/>
      <c r="I36" s="5"/>
      <c r="K36" s="3"/>
      <c r="S36" s="5"/>
    </row>
    <row r="37" spans="1:19" ht="15.75" x14ac:dyDescent="0.25">
      <c r="A37" s="30"/>
      <c r="C37" s="30"/>
      <c r="K37" s="30"/>
      <c r="N37" s="30"/>
    </row>
    <row r="38" spans="1:19" ht="15.75" x14ac:dyDescent="0.25">
      <c r="A38" s="30"/>
      <c r="C38" s="30"/>
      <c r="K38" s="30"/>
      <c r="N38" s="30"/>
    </row>
    <row r="39" spans="1:19" x14ac:dyDescent="0.25">
      <c r="A39" s="3"/>
      <c r="B39" s="3"/>
      <c r="C39" s="3"/>
      <c r="D39" s="3"/>
      <c r="E39" s="4" t="s">
        <v>204</v>
      </c>
      <c r="F39" s="3"/>
      <c r="G39" s="3"/>
      <c r="H39" s="3"/>
      <c r="I39" s="3"/>
      <c r="K39" s="3"/>
      <c r="L39" s="3"/>
      <c r="M39" s="3"/>
      <c r="N39" s="3"/>
      <c r="O39" s="4" t="s">
        <v>204</v>
      </c>
      <c r="P39" s="3"/>
      <c r="Q39" s="3"/>
      <c r="R39" s="3"/>
      <c r="S39" s="3"/>
    </row>
    <row r="40" spans="1:19" x14ac:dyDescent="0.25">
      <c r="A40" s="3" t="s">
        <v>205</v>
      </c>
      <c r="B40" s="3"/>
      <c r="C40" s="3"/>
      <c r="D40" s="3" t="s">
        <v>433</v>
      </c>
      <c r="E40" s="3"/>
      <c r="F40" s="3"/>
      <c r="G40" s="3"/>
      <c r="H40" s="3"/>
      <c r="I40" s="3"/>
      <c r="K40" s="3" t="s">
        <v>205</v>
      </c>
      <c r="L40" s="3"/>
      <c r="M40" s="3"/>
      <c r="N40" s="3" t="s">
        <v>434</v>
      </c>
      <c r="O40" s="3"/>
      <c r="P40" s="3"/>
      <c r="Q40" s="3"/>
      <c r="R40" s="3"/>
      <c r="S40" s="3"/>
    </row>
    <row r="41" spans="1:19" x14ac:dyDescent="0.25">
      <c r="A41" s="3"/>
      <c r="B41" s="5" t="s">
        <v>440</v>
      </c>
      <c r="C41" s="3"/>
      <c r="D41" s="3"/>
      <c r="E41" s="3"/>
      <c r="F41" s="3"/>
      <c r="G41" s="3"/>
      <c r="H41" s="3"/>
      <c r="I41" s="3"/>
      <c r="J41" s="3"/>
      <c r="K41" s="3"/>
      <c r="L41" s="5" t="s">
        <v>440</v>
      </c>
      <c r="M41" s="3"/>
      <c r="N41" s="3"/>
      <c r="O41" s="3"/>
      <c r="P41" s="3"/>
      <c r="Q41" s="3"/>
      <c r="R41" s="3"/>
      <c r="S41" s="3"/>
    </row>
    <row r="42" spans="1:19" ht="15" customHeight="1" thickBot="1" x14ac:dyDescent="0.3">
      <c r="A42" s="3"/>
      <c r="B42" s="5" t="s">
        <v>206</v>
      </c>
      <c r="C42" s="3"/>
      <c r="D42" s="3"/>
      <c r="E42" s="3"/>
      <c r="F42" s="3">
        <v>51.4</v>
      </c>
      <c r="G42" s="3" t="s">
        <v>207</v>
      </c>
      <c r="H42" s="3"/>
      <c r="I42" s="3"/>
      <c r="J42" s="3"/>
      <c r="K42" s="3"/>
      <c r="L42" s="5" t="s">
        <v>206</v>
      </c>
      <c r="M42" s="3"/>
      <c r="N42" s="3"/>
      <c r="O42" s="3"/>
      <c r="P42" s="3">
        <v>44</v>
      </c>
      <c r="Q42" s="3" t="s">
        <v>207</v>
      </c>
      <c r="R42" s="3"/>
      <c r="S42" s="3"/>
    </row>
    <row r="43" spans="1:19" ht="69" customHeight="1" x14ac:dyDescent="0.25">
      <c r="A43" s="175" t="s">
        <v>209</v>
      </c>
      <c r="B43" s="177" t="s">
        <v>210</v>
      </c>
      <c r="C43" s="178"/>
      <c r="D43" s="178"/>
      <c r="E43" s="178"/>
      <c r="F43" s="178"/>
      <c r="G43" s="180" t="s">
        <v>441</v>
      </c>
      <c r="H43" s="181"/>
      <c r="I43" s="175" t="s">
        <v>212</v>
      </c>
      <c r="J43" s="51"/>
      <c r="K43" s="175" t="s">
        <v>209</v>
      </c>
      <c r="L43" s="177" t="s">
        <v>210</v>
      </c>
      <c r="M43" s="178"/>
      <c r="N43" s="178"/>
      <c r="O43" s="178"/>
      <c r="P43" s="178"/>
      <c r="Q43" s="180" t="s">
        <v>441</v>
      </c>
      <c r="R43" s="181"/>
      <c r="S43" s="175" t="s">
        <v>212</v>
      </c>
    </row>
    <row r="44" spans="1:19" ht="15" customHeight="1" thickBot="1" x14ac:dyDescent="0.3">
      <c r="A44" s="176"/>
      <c r="B44" s="179"/>
      <c r="C44" s="179"/>
      <c r="D44" s="179"/>
      <c r="E44" s="179"/>
      <c r="F44" s="179"/>
      <c r="G44" s="182"/>
      <c r="H44" s="183"/>
      <c r="I44" s="184"/>
      <c r="J44" s="52"/>
      <c r="K44" s="176"/>
      <c r="L44" s="179"/>
      <c r="M44" s="179"/>
      <c r="N44" s="179"/>
      <c r="O44" s="179"/>
      <c r="P44" s="179"/>
      <c r="Q44" s="182"/>
      <c r="R44" s="183"/>
      <c r="S44" s="184"/>
    </row>
    <row r="45" spans="1:19" ht="7.5" customHeight="1" x14ac:dyDescent="0.25">
      <c r="A45" s="185" t="s">
        <v>213</v>
      </c>
      <c r="B45" s="187" t="s">
        <v>354</v>
      </c>
      <c r="C45" s="188"/>
      <c r="D45" s="188"/>
      <c r="E45" s="188"/>
      <c r="F45" s="188"/>
      <c r="G45" s="190">
        <v>3799.49</v>
      </c>
      <c r="H45" s="191"/>
      <c r="I45" s="192"/>
      <c r="J45" s="53"/>
      <c r="K45" s="185" t="s">
        <v>213</v>
      </c>
      <c r="L45" s="187" t="s">
        <v>354</v>
      </c>
      <c r="M45" s="188"/>
      <c r="N45" s="188"/>
      <c r="O45" s="188"/>
      <c r="P45" s="188"/>
      <c r="Q45" s="190">
        <v>2.1800000000000002</v>
      </c>
      <c r="R45" s="191"/>
      <c r="S45" s="192"/>
    </row>
    <row r="46" spans="1:19" ht="17.25" customHeight="1" thickBot="1" x14ac:dyDescent="0.3">
      <c r="A46" s="186"/>
      <c r="B46" s="189"/>
      <c r="C46" s="189"/>
      <c r="D46" s="189"/>
      <c r="E46" s="189"/>
      <c r="F46" s="189"/>
      <c r="G46" s="193"/>
      <c r="H46" s="194"/>
      <c r="I46" s="128"/>
      <c r="J46" s="54"/>
      <c r="K46" s="186"/>
      <c r="L46" s="189"/>
      <c r="M46" s="189"/>
      <c r="N46" s="189"/>
      <c r="O46" s="189"/>
      <c r="P46" s="189"/>
      <c r="Q46" s="193"/>
      <c r="R46" s="194"/>
      <c r="S46" s="128"/>
    </row>
    <row r="47" spans="1:19" ht="18" customHeight="1" x14ac:dyDescent="0.25">
      <c r="A47" s="6"/>
      <c r="B47" s="161" t="s">
        <v>214</v>
      </c>
      <c r="C47" s="162"/>
      <c r="D47" s="162"/>
      <c r="E47" s="162"/>
      <c r="F47" s="162"/>
      <c r="G47" s="163">
        <v>121</v>
      </c>
      <c r="H47" s="164"/>
      <c r="I47" s="169" t="s">
        <v>215</v>
      </c>
      <c r="J47" s="42"/>
      <c r="K47" s="6"/>
      <c r="L47" s="161" t="s">
        <v>214</v>
      </c>
      <c r="M47" s="162"/>
      <c r="N47" s="162"/>
      <c r="O47" s="162"/>
      <c r="P47" s="162"/>
      <c r="Q47" s="163">
        <f>1*12*P42</f>
        <v>528</v>
      </c>
      <c r="R47" s="164"/>
      <c r="S47" s="169" t="s">
        <v>215</v>
      </c>
    </row>
    <row r="48" spans="1:19" ht="40.5" customHeight="1" thickBot="1" x14ac:dyDescent="0.3">
      <c r="A48" s="7"/>
      <c r="B48" s="171" t="s">
        <v>216</v>
      </c>
      <c r="C48" s="172"/>
      <c r="D48" s="172"/>
      <c r="E48" s="172"/>
      <c r="F48" s="172"/>
      <c r="G48" s="165"/>
      <c r="H48" s="166"/>
      <c r="I48" s="170"/>
      <c r="J48" s="43"/>
      <c r="K48" s="7"/>
      <c r="L48" s="171" t="s">
        <v>216</v>
      </c>
      <c r="M48" s="172"/>
      <c r="N48" s="172"/>
      <c r="O48" s="172"/>
      <c r="P48" s="172"/>
      <c r="Q48" s="165"/>
      <c r="R48" s="166"/>
      <c r="S48" s="170"/>
    </row>
    <row r="49" spans="1:19" ht="13.5" customHeight="1" thickBot="1" x14ac:dyDescent="0.3">
      <c r="A49" s="7"/>
      <c r="B49" s="173" t="s">
        <v>217</v>
      </c>
      <c r="C49" s="174"/>
      <c r="D49" s="174"/>
      <c r="E49" s="174"/>
      <c r="F49" s="174"/>
      <c r="G49" s="167"/>
      <c r="H49" s="168"/>
      <c r="I49" s="8" t="s">
        <v>218</v>
      </c>
      <c r="J49" s="43"/>
      <c r="K49" s="7"/>
      <c r="L49" s="173" t="s">
        <v>217</v>
      </c>
      <c r="M49" s="174"/>
      <c r="N49" s="174"/>
      <c r="O49" s="174"/>
      <c r="P49" s="174"/>
      <c r="Q49" s="167"/>
      <c r="R49" s="168"/>
      <c r="S49" s="8" t="s">
        <v>218</v>
      </c>
    </row>
    <row r="50" spans="1:19" ht="13.5" customHeight="1" thickBot="1" x14ac:dyDescent="0.3">
      <c r="A50" s="7"/>
      <c r="B50" s="141" t="s">
        <v>219</v>
      </c>
      <c r="C50" s="142"/>
      <c r="D50" s="142"/>
      <c r="E50" s="142"/>
      <c r="F50" s="142"/>
      <c r="G50" s="143"/>
      <c r="H50" s="144"/>
      <c r="I50" s="8" t="s">
        <v>220</v>
      </c>
      <c r="J50" s="55"/>
      <c r="K50" s="7"/>
      <c r="L50" s="141" t="s">
        <v>219</v>
      </c>
      <c r="M50" s="142"/>
      <c r="N50" s="142"/>
      <c r="O50" s="142"/>
      <c r="P50" s="142"/>
      <c r="Q50" s="143"/>
      <c r="R50" s="144"/>
      <c r="S50" s="8" t="s">
        <v>220</v>
      </c>
    </row>
    <row r="51" spans="1:19" ht="13.5" customHeight="1" thickBot="1" x14ac:dyDescent="0.3">
      <c r="A51" s="7"/>
      <c r="B51" s="141" t="s">
        <v>221</v>
      </c>
      <c r="C51" s="142"/>
      <c r="D51" s="142"/>
      <c r="E51" s="142"/>
      <c r="F51" s="142"/>
      <c r="G51" s="143">
        <v>1148.22</v>
      </c>
      <c r="H51" s="144"/>
      <c r="I51" s="8" t="s">
        <v>222</v>
      </c>
      <c r="J51" s="56"/>
      <c r="K51" s="7"/>
      <c r="L51" s="141" t="s">
        <v>221</v>
      </c>
      <c r="M51" s="142"/>
      <c r="N51" s="142"/>
      <c r="O51" s="142"/>
      <c r="P51" s="142"/>
      <c r="Q51" s="143">
        <v>452.31</v>
      </c>
      <c r="R51" s="144"/>
      <c r="S51" s="8" t="s">
        <v>222</v>
      </c>
    </row>
    <row r="52" spans="1:19" ht="13.5" customHeight="1" x14ac:dyDescent="0.25">
      <c r="A52" s="9"/>
      <c r="B52" s="145" t="s">
        <v>223</v>
      </c>
      <c r="C52" s="146"/>
      <c r="D52" s="146"/>
      <c r="E52" s="146"/>
      <c r="F52" s="146"/>
      <c r="G52" s="86"/>
      <c r="H52" s="147"/>
      <c r="I52" s="152" t="s">
        <v>224</v>
      </c>
      <c r="J52" s="56"/>
      <c r="K52" s="9"/>
      <c r="L52" s="145" t="s">
        <v>223</v>
      </c>
      <c r="M52" s="146"/>
      <c r="N52" s="146"/>
      <c r="O52" s="146"/>
      <c r="P52" s="146"/>
      <c r="Q52" s="86"/>
      <c r="R52" s="147"/>
      <c r="S52" s="152" t="s">
        <v>224</v>
      </c>
    </row>
    <row r="53" spans="1:19" ht="13.5" customHeight="1" x14ac:dyDescent="0.25">
      <c r="A53" s="10"/>
      <c r="B53" s="155" t="s">
        <v>226</v>
      </c>
      <c r="C53" s="156"/>
      <c r="D53" s="156"/>
      <c r="E53" s="156"/>
      <c r="F53" s="156"/>
      <c r="G53" s="148"/>
      <c r="H53" s="149"/>
      <c r="I53" s="153"/>
      <c r="J53" s="57"/>
      <c r="K53" s="10"/>
      <c r="L53" s="155" t="s">
        <v>226</v>
      </c>
      <c r="M53" s="156"/>
      <c r="N53" s="156"/>
      <c r="O53" s="156"/>
      <c r="P53" s="156"/>
      <c r="Q53" s="148"/>
      <c r="R53" s="149"/>
      <c r="S53" s="153"/>
    </row>
    <row r="54" spans="1:19" ht="13.5" customHeight="1" thickBot="1" x14ac:dyDescent="0.3">
      <c r="A54" s="10"/>
      <c r="B54" s="157" t="s">
        <v>227</v>
      </c>
      <c r="C54" s="158"/>
      <c r="D54" s="158"/>
      <c r="E54" s="158"/>
      <c r="F54" s="158"/>
      <c r="G54" s="148"/>
      <c r="H54" s="149"/>
      <c r="I54" s="154"/>
      <c r="J54" s="43"/>
      <c r="K54" s="10"/>
      <c r="L54" s="157" t="s">
        <v>227</v>
      </c>
      <c r="M54" s="158"/>
      <c r="N54" s="158"/>
      <c r="O54" s="158"/>
      <c r="P54" s="158"/>
      <c r="Q54" s="148"/>
      <c r="R54" s="149"/>
      <c r="S54" s="154"/>
    </row>
    <row r="55" spans="1:19" ht="13.5" customHeight="1" thickBot="1" x14ac:dyDescent="0.3">
      <c r="A55" s="10"/>
      <c r="B55" s="159" t="s">
        <v>228</v>
      </c>
      <c r="C55" s="160"/>
      <c r="D55" s="160"/>
      <c r="E55" s="160"/>
      <c r="F55" s="160"/>
      <c r="G55" s="150"/>
      <c r="H55" s="151"/>
      <c r="I55" s="11" t="s">
        <v>229</v>
      </c>
      <c r="J55" s="43"/>
      <c r="K55" s="10"/>
      <c r="L55" s="159" t="s">
        <v>228</v>
      </c>
      <c r="M55" s="160"/>
      <c r="N55" s="160"/>
      <c r="O55" s="160"/>
      <c r="P55" s="160"/>
      <c r="Q55" s="150"/>
      <c r="R55" s="151"/>
      <c r="S55" s="11" t="s">
        <v>229</v>
      </c>
    </row>
    <row r="56" spans="1:19" ht="13.5" customHeight="1" x14ac:dyDescent="0.25">
      <c r="A56" s="12"/>
      <c r="B56" s="125" t="s">
        <v>230</v>
      </c>
      <c r="C56" s="126"/>
      <c r="D56" s="126"/>
      <c r="E56" s="126"/>
      <c r="F56" s="126"/>
      <c r="G56" s="86"/>
      <c r="H56" s="87"/>
      <c r="I56" s="129" t="s">
        <v>220</v>
      </c>
      <c r="J56" s="43"/>
      <c r="K56" s="12"/>
      <c r="L56" s="125" t="s">
        <v>230</v>
      </c>
      <c r="M56" s="126"/>
      <c r="N56" s="126"/>
      <c r="O56" s="126"/>
      <c r="P56" s="126"/>
      <c r="Q56" s="86"/>
      <c r="R56" s="87"/>
      <c r="S56" s="129" t="s">
        <v>220</v>
      </c>
    </row>
    <row r="57" spans="1:19" ht="15.75" customHeight="1" thickBot="1" x14ac:dyDescent="0.3">
      <c r="A57" s="7"/>
      <c r="B57" s="131" t="s">
        <v>231</v>
      </c>
      <c r="C57" s="132"/>
      <c r="D57" s="132"/>
      <c r="E57" s="132"/>
      <c r="F57" s="132"/>
      <c r="G57" s="127"/>
      <c r="H57" s="128"/>
      <c r="I57" s="130"/>
      <c r="J57" s="43"/>
      <c r="K57" s="7"/>
      <c r="L57" s="131" t="s">
        <v>231</v>
      </c>
      <c r="M57" s="132"/>
      <c r="N57" s="132"/>
      <c r="O57" s="132"/>
      <c r="P57" s="132"/>
      <c r="Q57" s="127"/>
      <c r="R57" s="128"/>
      <c r="S57" s="130"/>
    </row>
    <row r="58" spans="1:19" ht="15.75" customHeight="1" thickBot="1" x14ac:dyDescent="0.3">
      <c r="A58" s="13"/>
      <c r="B58" s="133" t="s">
        <v>232</v>
      </c>
      <c r="C58" s="134"/>
      <c r="D58" s="134"/>
      <c r="E58" s="134"/>
      <c r="F58" s="134"/>
      <c r="G58" s="135"/>
      <c r="H58" s="136"/>
      <c r="I58" s="14"/>
      <c r="J58" s="58"/>
      <c r="K58" s="13"/>
      <c r="L58" s="133" t="s">
        <v>232</v>
      </c>
      <c r="M58" s="134"/>
      <c r="N58" s="134"/>
      <c r="O58" s="134"/>
      <c r="P58" s="134"/>
      <c r="Q58" s="135"/>
      <c r="R58" s="136"/>
      <c r="S58" s="14"/>
    </row>
    <row r="59" spans="1:19" ht="15.75" customHeight="1" thickBot="1" x14ac:dyDescent="0.3">
      <c r="A59" s="13"/>
      <c r="B59" s="84" t="s">
        <v>233</v>
      </c>
      <c r="C59" s="85"/>
      <c r="D59" s="85"/>
      <c r="E59" s="85"/>
      <c r="F59" s="85"/>
      <c r="G59" s="86"/>
      <c r="H59" s="87"/>
      <c r="I59" s="92"/>
      <c r="J59" s="41"/>
      <c r="K59" s="13"/>
      <c r="L59" s="84" t="s">
        <v>233</v>
      </c>
      <c r="M59" s="85"/>
      <c r="N59" s="85"/>
      <c r="O59" s="85"/>
      <c r="P59" s="85"/>
      <c r="Q59" s="86"/>
      <c r="R59" s="87"/>
      <c r="S59" s="92"/>
    </row>
    <row r="60" spans="1:19" x14ac:dyDescent="0.25">
      <c r="A60" s="118"/>
      <c r="B60" s="121" t="s">
        <v>226</v>
      </c>
      <c r="C60" s="122"/>
      <c r="D60" s="122"/>
      <c r="E60" s="122"/>
      <c r="F60" s="122"/>
      <c r="G60" s="88"/>
      <c r="H60" s="89"/>
      <c r="I60" s="93"/>
      <c r="J60" s="41"/>
      <c r="K60" s="118"/>
      <c r="L60" s="121" t="s">
        <v>226</v>
      </c>
      <c r="M60" s="122"/>
      <c r="N60" s="122"/>
      <c r="O60" s="122"/>
      <c r="P60" s="122"/>
      <c r="Q60" s="88"/>
      <c r="R60" s="89"/>
      <c r="S60" s="93"/>
    </row>
    <row r="61" spans="1:19" ht="17.25" customHeight="1" x14ac:dyDescent="0.25">
      <c r="A61" s="119"/>
      <c r="B61" s="121" t="s">
        <v>227</v>
      </c>
      <c r="C61" s="122"/>
      <c r="D61" s="122"/>
      <c r="E61" s="122"/>
      <c r="F61" s="122"/>
      <c r="G61" s="88"/>
      <c r="H61" s="89"/>
      <c r="I61" s="93"/>
      <c r="J61" s="42"/>
      <c r="K61" s="119"/>
      <c r="L61" s="121" t="s">
        <v>227</v>
      </c>
      <c r="M61" s="122"/>
      <c r="N61" s="122"/>
      <c r="O61" s="122"/>
      <c r="P61" s="122"/>
      <c r="Q61" s="88"/>
      <c r="R61" s="89"/>
      <c r="S61" s="93"/>
    </row>
    <row r="62" spans="1:19" ht="15.75" customHeight="1" x14ac:dyDescent="0.25">
      <c r="A62" s="119"/>
      <c r="B62" s="121" t="s">
        <v>228</v>
      </c>
      <c r="C62" s="122"/>
      <c r="D62" s="122"/>
      <c r="E62" s="122"/>
      <c r="F62" s="122"/>
      <c r="G62" s="88"/>
      <c r="H62" s="89"/>
      <c r="I62" s="93"/>
      <c r="J62" s="43"/>
      <c r="K62" s="119"/>
      <c r="L62" s="121" t="s">
        <v>228</v>
      </c>
      <c r="M62" s="122"/>
      <c r="N62" s="122"/>
      <c r="O62" s="122"/>
      <c r="P62" s="122"/>
      <c r="Q62" s="88"/>
      <c r="R62" s="89"/>
      <c r="S62" s="93"/>
    </row>
    <row r="63" spans="1:19" ht="30" customHeight="1" thickBot="1" x14ac:dyDescent="0.3">
      <c r="A63" s="120"/>
      <c r="B63" s="123" t="s">
        <v>234</v>
      </c>
      <c r="C63" s="124"/>
      <c r="D63" s="124"/>
      <c r="E63" s="124"/>
      <c r="F63" s="124"/>
      <c r="G63" s="90"/>
      <c r="H63" s="91"/>
      <c r="I63" s="94"/>
      <c r="J63" s="59"/>
      <c r="K63" s="120"/>
      <c r="L63" s="123" t="s">
        <v>234</v>
      </c>
      <c r="M63" s="124"/>
      <c r="N63" s="124"/>
      <c r="O63" s="124"/>
      <c r="P63" s="124"/>
      <c r="Q63" s="90"/>
      <c r="R63" s="91"/>
      <c r="S63" s="94"/>
    </row>
    <row r="64" spans="1:19" ht="0.75" customHeight="1" thickBot="1" x14ac:dyDescent="0.3">
      <c r="A64" s="15"/>
      <c r="B64" s="137" t="s">
        <v>248</v>
      </c>
      <c r="C64" s="138"/>
      <c r="D64" s="138"/>
      <c r="E64" s="138"/>
      <c r="F64" s="138"/>
      <c r="G64" s="139"/>
      <c r="H64" s="140"/>
      <c r="I64" s="16"/>
      <c r="J64" s="58"/>
      <c r="K64" s="15"/>
      <c r="L64" s="137" t="s">
        <v>248</v>
      </c>
      <c r="M64" s="138"/>
      <c r="N64" s="138"/>
      <c r="O64" s="138"/>
      <c r="P64" s="138"/>
      <c r="Q64" s="139"/>
      <c r="R64" s="140"/>
      <c r="S64" s="16"/>
    </row>
    <row r="65" spans="1:19" ht="15" hidden="1" customHeight="1" x14ac:dyDescent="0.25">
      <c r="A65" s="15"/>
      <c r="B65" s="137" t="s">
        <v>235</v>
      </c>
      <c r="C65" s="138"/>
      <c r="D65" s="138"/>
      <c r="E65" s="138"/>
      <c r="F65" s="138"/>
      <c r="G65" s="139"/>
      <c r="H65" s="140"/>
      <c r="I65" s="16"/>
      <c r="J65" s="45"/>
      <c r="K65" s="15"/>
      <c r="L65" s="137" t="s">
        <v>235</v>
      </c>
      <c r="M65" s="138"/>
      <c r="N65" s="138"/>
      <c r="O65" s="138"/>
      <c r="P65" s="138"/>
      <c r="Q65" s="139"/>
      <c r="R65" s="140"/>
      <c r="S65" s="16"/>
    </row>
    <row r="66" spans="1:19" ht="32.25" customHeight="1" thickBot="1" x14ac:dyDescent="0.3">
      <c r="A66" s="17"/>
      <c r="B66" s="78" t="s">
        <v>237</v>
      </c>
      <c r="C66" s="79"/>
      <c r="D66" s="79"/>
      <c r="E66" s="79"/>
      <c r="F66" s="79"/>
      <c r="G66" s="86"/>
      <c r="H66" s="87"/>
      <c r="I66" s="108" t="s">
        <v>229</v>
      </c>
      <c r="J66" s="41"/>
      <c r="K66" s="17"/>
      <c r="L66" s="78" t="s">
        <v>237</v>
      </c>
      <c r="M66" s="79"/>
      <c r="N66" s="79"/>
      <c r="O66" s="79"/>
      <c r="P66" s="79"/>
      <c r="Q66" s="86"/>
      <c r="R66" s="87"/>
      <c r="S66" s="108" t="s">
        <v>229</v>
      </c>
    </row>
    <row r="67" spans="1:19" ht="15.75" customHeight="1" thickBot="1" x14ac:dyDescent="0.3">
      <c r="A67" s="18"/>
      <c r="B67" s="110" t="s">
        <v>238</v>
      </c>
      <c r="C67" s="111"/>
      <c r="D67" s="111"/>
      <c r="E67" s="111"/>
      <c r="F67" s="111"/>
      <c r="G67" s="90"/>
      <c r="H67" s="91"/>
      <c r="I67" s="109"/>
      <c r="J67" s="41"/>
      <c r="K67" s="18"/>
      <c r="L67" s="110" t="s">
        <v>238</v>
      </c>
      <c r="M67" s="111"/>
      <c r="N67" s="111"/>
      <c r="O67" s="111"/>
      <c r="P67" s="111"/>
      <c r="Q67" s="90"/>
      <c r="R67" s="91"/>
      <c r="S67" s="109"/>
    </row>
    <row r="68" spans="1:19" ht="15.75" customHeight="1" thickBot="1" x14ac:dyDescent="0.3">
      <c r="A68" s="19"/>
      <c r="B68" s="112" t="s">
        <v>239</v>
      </c>
      <c r="C68" s="113"/>
      <c r="D68" s="113"/>
      <c r="E68" s="113"/>
      <c r="F68" s="113"/>
      <c r="G68" s="114">
        <f>SUM(G47:H67)</f>
        <v>1269.22</v>
      </c>
      <c r="H68" s="115"/>
      <c r="I68" s="20"/>
      <c r="J68" s="60"/>
      <c r="K68" s="19"/>
      <c r="L68" s="112" t="s">
        <v>239</v>
      </c>
      <c r="M68" s="113"/>
      <c r="N68" s="113"/>
      <c r="O68" s="113"/>
      <c r="P68" s="113"/>
      <c r="Q68" s="114">
        <f>SUM(Q47:R67)</f>
        <v>980.31</v>
      </c>
      <c r="R68" s="115"/>
      <c r="S68" s="20"/>
    </row>
    <row r="69" spans="1:19" ht="15.75" customHeight="1" thickBot="1" x14ac:dyDescent="0.3">
      <c r="A69" s="21"/>
      <c r="B69" s="101" t="s">
        <v>240</v>
      </c>
      <c r="C69" s="102"/>
      <c r="D69" s="102"/>
      <c r="E69" s="102"/>
      <c r="F69" s="102"/>
      <c r="G69" s="116">
        <f>G68*1.2</f>
        <v>1523.0640000000001</v>
      </c>
      <c r="H69" s="117"/>
      <c r="I69" s="22"/>
      <c r="J69" s="60"/>
      <c r="K69" s="21"/>
      <c r="L69" s="101" t="s">
        <v>240</v>
      </c>
      <c r="M69" s="102"/>
      <c r="N69" s="102"/>
      <c r="O69" s="102"/>
      <c r="P69" s="102"/>
      <c r="Q69" s="116">
        <f>Q68*1.2</f>
        <v>1176.3719999999998</v>
      </c>
      <c r="R69" s="117"/>
      <c r="S69" s="22"/>
    </row>
    <row r="70" spans="1:19" ht="15.75" customHeight="1" thickBot="1" x14ac:dyDescent="0.3">
      <c r="A70" s="24"/>
      <c r="B70" s="96" t="s">
        <v>443</v>
      </c>
      <c r="C70" s="97"/>
      <c r="D70" s="97"/>
      <c r="E70" s="97"/>
      <c r="F70" s="97"/>
      <c r="G70" s="311">
        <v>1829.28</v>
      </c>
      <c r="H70" s="312"/>
      <c r="I70" s="313"/>
      <c r="J70" s="60"/>
      <c r="K70" s="24"/>
      <c r="L70" s="96" t="s">
        <v>443</v>
      </c>
      <c r="M70" s="97"/>
      <c r="N70" s="97"/>
      <c r="O70" s="97"/>
      <c r="P70" s="97"/>
      <c r="Q70" s="311">
        <v>1050.72</v>
      </c>
      <c r="R70" s="312"/>
      <c r="S70" s="313"/>
    </row>
    <row r="71" spans="1:19" ht="15.75" customHeight="1" thickBot="1" x14ac:dyDescent="0.3">
      <c r="A71" s="19"/>
      <c r="B71" s="101" t="s">
        <v>242</v>
      </c>
      <c r="C71" s="102"/>
      <c r="D71" s="102"/>
      <c r="E71" s="102"/>
      <c r="F71" s="102"/>
      <c r="G71" s="307">
        <v>900</v>
      </c>
      <c r="H71" s="308"/>
      <c r="I71" s="309"/>
      <c r="K71" s="25"/>
      <c r="L71" s="101" t="s">
        <v>242</v>
      </c>
      <c r="M71" s="102"/>
      <c r="N71" s="102"/>
      <c r="O71" s="102"/>
      <c r="P71" s="102"/>
      <c r="Q71" s="343">
        <v>600</v>
      </c>
      <c r="R71" s="344"/>
      <c r="S71" s="345"/>
    </row>
    <row r="72" spans="1:19" ht="15.75" thickBot="1" x14ac:dyDescent="0.3">
      <c r="A72" s="19"/>
      <c r="B72" s="106" t="s">
        <v>444</v>
      </c>
      <c r="C72" s="107"/>
      <c r="D72" s="107"/>
      <c r="E72" s="107"/>
      <c r="F72" s="107"/>
      <c r="G72" s="307">
        <v>4728.7700000000004</v>
      </c>
      <c r="H72" s="308"/>
      <c r="I72" s="309"/>
      <c r="J72" s="61"/>
      <c r="K72" s="19"/>
      <c r="L72" s="106" t="s">
        <v>444</v>
      </c>
      <c r="M72" s="107"/>
      <c r="N72" s="107"/>
      <c r="O72" s="107"/>
      <c r="P72" s="107"/>
      <c r="Q72" s="368">
        <v>452.9</v>
      </c>
      <c r="R72" s="368"/>
      <c r="S72" s="369"/>
    </row>
    <row r="73" spans="1:19" x14ac:dyDescent="0.25">
      <c r="E73" s="50"/>
      <c r="I73" s="5"/>
      <c r="O73" s="50"/>
      <c r="S73" s="5"/>
    </row>
    <row r="74" spans="1:19" x14ac:dyDescent="0.25">
      <c r="A74" s="3"/>
      <c r="I74" s="5"/>
      <c r="K74" s="3"/>
      <c r="S74" s="5"/>
    </row>
    <row r="75" spans="1:19" ht="15.75" x14ac:dyDescent="0.25">
      <c r="C75" s="30"/>
      <c r="K75" s="30"/>
      <c r="N75" s="30"/>
    </row>
    <row r="76" spans="1:19" ht="15.75" x14ac:dyDescent="0.25">
      <c r="A76" s="30"/>
      <c r="C76" s="30"/>
      <c r="K76" s="30"/>
      <c r="N76" s="30"/>
    </row>
    <row r="77" spans="1:19" ht="15.75" x14ac:dyDescent="0.25">
      <c r="A77" s="30"/>
      <c r="C77" s="30"/>
      <c r="K77" s="30"/>
      <c r="N77" s="30"/>
    </row>
    <row r="78" spans="1:19" x14ac:dyDescent="0.25">
      <c r="A78" s="3"/>
      <c r="B78" s="3"/>
      <c r="C78" s="3"/>
      <c r="D78" s="3"/>
      <c r="E78" s="4" t="s">
        <v>204</v>
      </c>
      <c r="F78" s="3"/>
      <c r="G78" s="3"/>
      <c r="H78" s="3"/>
      <c r="I78" s="3"/>
      <c r="K78" s="3"/>
      <c r="L78" s="3"/>
      <c r="M78" s="3"/>
      <c r="N78" s="3"/>
      <c r="O78" s="4" t="s">
        <v>204</v>
      </c>
      <c r="P78" s="3"/>
      <c r="Q78" s="3"/>
      <c r="R78" s="3"/>
      <c r="S78" s="3"/>
    </row>
    <row r="79" spans="1:19" x14ac:dyDescent="0.25">
      <c r="A79" s="3" t="s">
        <v>205</v>
      </c>
      <c r="B79" s="3"/>
      <c r="C79" s="3"/>
      <c r="D79" s="3" t="s">
        <v>435</v>
      </c>
      <c r="E79" s="3"/>
      <c r="F79" s="3"/>
      <c r="G79" s="3"/>
      <c r="H79" s="3"/>
      <c r="I79" s="3"/>
      <c r="K79" s="3" t="s">
        <v>205</v>
      </c>
      <c r="L79" s="3"/>
      <c r="M79" s="3"/>
      <c r="N79" s="3" t="s">
        <v>436</v>
      </c>
      <c r="O79" s="3"/>
      <c r="P79" s="3"/>
      <c r="Q79" s="3"/>
      <c r="R79" s="3"/>
      <c r="S79" s="3"/>
    </row>
    <row r="80" spans="1:19" x14ac:dyDescent="0.25">
      <c r="A80" s="3"/>
      <c r="B80" s="5" t="s">
        <v>440</v>
      </c>
      <c r="C80" s="3"/>
      <c r="D80" s="3"/>
      <c r="E80" s="3"/>
      <c r="F80" s="3"/>
      <c r="G80" s="3"/>
      <c r="H80" s="3"/>
      <c r="I80" s="3"/>
      <c r="J80" s="3"/>
      <c r="K80" s="3"/>
      <c r="L80" s="5" t="s">
        <v>440</v>
      </c>
      <c r="M80" s="3"/>
      <c r="N80" s="3"/>
      <c r="O80" s="3"/>
      <c r="P80" s="3"/>
      <c r="Q80" s="3"/>
      <c r="R80" s="3"/>
      <c r="S80" s="3"/>
    </row>
    <row r="81" spans="1:19" ht="15" customHeight="1" thickBot="1" x14ac:dyDescent="0.3">
      <c r="A81" s="3"/>
      <c r="B81" s="5" t="s">
        <v>206</v>
      </c>
      <c r="C81" s="3"/>
      <c r="D81" s="3"/>
      <c r="E81" s="3"/>
      <c r="F81" s="3">
        <v>44.9</v>
      </c>
      <c r="G81" s="3" t="s">
        <v>207</v>
      </c>
      <c r="H81" s="3"/>
      <c r="I81" s="3"/>
      <c r="J81" s="3"/>
      <c r="K81" s="3"/>
      <c r="L81" s="5" t="s">
        <v>206</v>
      </c>
      <c r="M81" s="3"/>
      <c r="N81" s="3"/>
      <c r="O81" s="3"/>
      <c r="P81" s="3">
        <v>47.1</v>
      </c>
      <c r="Q81" s="3" t="s">
        <v>207</v>
      </c>
      <c r="R81" s="3"/>
      <c r="S81" s="3"/>
    </row>
    <row r="82" spans="1:19" ht="75" customHeight="1" x14ac:dyDescent="0.25">
      <c r="A82" s="175" t="s">
        <v>209</v>
      </c>
      <c r="B82" s="177" t="s">
        <v>210</v>
      </c>
      <c r="C82" s="178"/>
      <c r="D82" s="178"/>
      <c r="E82" s="178"/>
      <c r="F82" s="178"/>
      <c r="G82" s="180" t="s">
        <v>441</v>
      </c>
      <c r="H82" s="181"/>
      <c r="I82" s="175" t="s">
        <v>212</v>
      </c>
      <c r="J82" s="31"/>
      <c r="K82" s="175" t="s">
        <v>209</v>
      </c>
      <c r="L82" s="177" t="s">
        <v>210</v>
      </c>
      <c r="M82" s="178"/>
      <c r="N82" s="178"/>
      <c r="O82" s="178"/>
      <c r="P82" s="178"/>
      <c r="Q82" s="180" t="s">
        <v>441</v>
      </c>
      <c r="R82" s="181"/>
      <c r="S82" s="175" t="s">
        <v>212</v>
      </c>
    </row>
    <row r="83" spans="1:19" ht="15" customHeight="1" thickBot="1" x14ac:dyDescent="0.3">
      <c r="A83" s="176"/>
      <c r="B83" s="179"/>
      <c r="C83" s="179"/>
      <c r="D83" s="179"/>
      <c r="E83" s="179"/>
      <c r="F83" s="179"/>
      <c r="G83" s="182"/>
      <c r="H83" s="183"/>
      <c r="I83" s="184"/>
      <c r="J83" s="32"/>
      <c r="K83" s="176"/>
      <c r="L83" s="179"/>
      <c r="M83" s="179"/>
      <c r="N83" s="179"/>
      <c r="O83" s="179"/>
      <c r="P83" s="179"/>
      <c r="Q83" s="182"/>
      <c r="R83" s="183"/>
      <c r="S83" s="184"/>
    </row>
    <row r="84" spans="1:19" ht="5.25" customHeight="1" x14ac:dyDescent="0.25">
      <c r="A84" s="185" t="s">
        <v>213</v>
      </c>
      <c r="B84" s="187" t="s">
        <v>354</v>
      </c>
      <c r="C84" s="188"/>
      <c r="D84" s="188"/>
      <c r="E84" s="188"/>
      <c r="F84" s="188"/>
      <c r="G84" s="190">
        <v>3623.97</v>
      </c>
      <c r="H84" s="191"/>
      <c r="I84" s="192"/>
      <c r="J84" s="33"/>
      <c r="K84" s="185" t="s">
        <v>213</v>
      </c>
      <c r="L84" s="187" t="s">
        <v>354</v>
      </c>
      <c r="M84" s="188"/>
      <c r="N84" s="188"/>
      <c r="O84" s="188"/>
      <c r="P84" s="188"/>
      <c r="Q84" s="190">
        <v>3.57</v>
      </c>
      <c r="R84" s="191"/>
      <c r="S84" s="192"/>
    </row>
    <row r="85" spans="1:19" ht="15" customHeight="1" thickBot="1" x14ac:dyDescent="0.3">
      <c r="A85" s="186"/>
      <c r="B85" s="189"/>
      <c r="C85" s="189"/>
      <c r="D85" s="189"/>
      <c r="E85" s="189"/>
      <c r="F85" s="189"/>
      <c r="G85" s="193"/>
      <c r="H85" s="194"/>
      <c r="I85" s="128"/>
      <c r="J85" s="34"/>
      <c r="K85" s="186"/>
      <c r="L85" s="189"/>
      <c r="M85" s="189"/>
      <c r="N85" s="189"/>
      <c r="O85" s="189"/>
      <c r="P85" s="189"/>
      <c r="Q85" s="193"/>
      <c r="R85" s="194"/>
      <c r="S85" s="128"/>
    </row>
    <row r="86" spans="1:19" ht="13.5" customHeight="1" x14ac:dyDescent="0.25">
      <c r="A86" s="6"/>
      <c r="B86" s="161" t="s">
        <v>214</v>
      </c>
      <c r="C86" s="162"/>
      <c r="D86" s="162"/>
      <c r="E86" s="162"/>
      <c r="F86" s="162"/>
      <c r="G86" s="163"/>
      <c r="H86" s="164"/>
      <c r="I86" s="169" t="s">
        <v>215</v>
      </c>
      <c r="J86" s="35"/>
      <c r="K86" s="6"/>
      <c r="L86" s="161" t="s">
        <v>214</v>
      </c>
      <c r="M86" s="162"/>
      <c r="N86" s="162"/>
      <c r="O86" s="162"/>
      <c r="P86" s="162"/>
      <c r="Q86" s="163">
        <f>1*12*P81</f>
        <v>565.20000000000005</v>
      </c>
      <c r="R86" s="164"/>
      <c r="S86" s="169" t="s">
        <v>215</v>
      </c>
    </row>
    <row r="87" spans="1:19" ht="36.75" customHeight="1" thickBot="1" x14ac:dyDescent="0.3">
      <c r="A87" s="7"/>
      <c r="B87" s="171" t="s">
        <v>216</v>
      </c>
      <c r="C87" s="172"/>
      <c r="D87" s="172"/>
      <c r="E87" s="172"/>
      <c r="F87" s="172"/>
      <c r="G87" s="165"/>
      <c r="H87" s="166"/>
      <c r="I87" s="170"/>
      <c r="J87" s="36"/>
      <c r="K87" s="7"/>
      <c r="L87" s="171" t="s">
        <v>216</v>
      </c>
      <c r="M87" s="172"/>
      <c r="N87" s="172"/>
      <c r="O87" s="172"/>
      <c r="P87" s="172"/>
      <c r="Q87" s="165"/>
      <c r="R87" s="166"/>
      <c r="S87" s="170"/>
    </row>
    <row r="88" spans="1:19" ht="13.5" customHeight="1" thickBot="1" x14ac:dyDescent="0.3">
      <c r="A88" s="7"/>
      <c r="B88" s="173" t="s">
        <v>217</v>
      </c>
      <c r="C88" s="174"/>
      <c r="D88" s="174"/>
      <c r="E88" s="174"/>
      <c r="F88" s="174"/>
      <c r="G88" s="167"/>
      <c r="H88" s="168"/>
      <c r="I88" s="8" t="s">
        <v>218</v>
      </c>
      <c r="J88" s="36"/>
      <c r="K88" s="7"/>
      <c r="L88" s="173" t="s">
        <v>217</v>
      </c>
      <c r="M88" s="174"/>
      <c r="N88" s="174"/>
      <c r="O88" s="174"/>
      <c r="P88" s="174"/>
      <c r="Q88" s="167"/>
      <c r="R88" s="168"/>
      <c r="S88" s="8" t="s">
        <v>218</v>
      </c>
    </row>
    <row r="89" spans="1:19" ht="13.5" customHeight="1" thickBot="1" x14ac:dyDescent="0.3">
      <c r="A89" s="7"/>
      <c r="B89" s="141" t="s">
        <v>219</v>
      </c>
      <c r="C89" s="142"/>
      <c r="D89" s="142"/>
      <c r="E89" s="142"/>
      <c r="F89" s="142"/>
      <c r="G89" s="143"/>
      <c r="H89" s="144"/>
      <c r="I89" s="8" t="s">
        <v>220</v>
      </c>
      <c r="J89" s="37"/>
      <c r="K89" s="7"/>
      <c r="L89" s="141" t="s">
        <v>219</v>
      </c>
      <c r="M89" s="142"/>
      <c r="N89" s="142"/>
      <c r="O89" s="142"/>
      <c r="P89" s="142"/>
      <c r="Q89" s="143"/>
      <c r="R89" s="144"/>
      <c r="S89" s="8" t="s">
        <v>220</v>
      </c>
    </row>
    <row r="90" spans="1:19" ht="13.5" customHeight="1" thickBot="1" x14ac:dyDescent="0.3">
      <c r="A90" s="7"/>
      <c r="B90" s="141" t="s">
        <v>221</v>
      </c>
      <c r="C90" s="142"/>
      <c r="D90" s="142"/>
      <c r="E90" s="142"/>
      <c r="F90" s="142"/>
      <c r="G90" s="143">
        <v>1148.2</v>
      </c>
      <c r="H90" s="144"/>
      <c r="I90" s="8" t="s">
        <v>222</v>
      </c>
      <c r="J90" s="38"/>
      <c r="K90" s="7"/>
      <c r="L90" s="141" t="s">
        <v>221</v>
      </c>
      <c r="M90" s="142"/>
      <c r="N90" s="142"/>
      <c r="O90" s="142"/>
      <c r="P90" s="142"/>
      <c r="Q90" s="143">
        <v>1148.2</v>
      </c>
      <c r="R90" s="144"/>
      <c r="S90" s="8" t="s">
        <v>222</v>
      </c>
    </row>
    <row r="91" spans="1:19" ht="13.5" customHeight="1" x14ac:dyDescent="0.25">
      <c r="A91" s="9"/>
      <c r="B91" s="145" t="s">
        <v>223</v>
      </c>
      <c r="C91" s="146"/>
      <c r="D91" s="146"/>
      <c r="E91" s="146"/>
      <c r="F91" s="146"/>
      <c r="G91" s="86"/>
      <c r="H91" s="147"/>
      <c r="I91" s="152" t="s">
        <v>224</v>
      </c>
      <c r="J91" s="38"/>
      <c r="K91" s="9"/>
      <c r="L91" s="145" t="s">
        <v>223</v>
      </c>
      <c r="M91" s="146"/>
      <c r="N91" s="146"/>
      <c r="O91" s="146"/>
      <c r="P91" s="146"/>
      <c r="Q91" s="86"/>
      <c r="R91" s="147"/>
      <c r="S91" s="152" t="s">
        <v>224</v>
      </c>
    </row>
    <row r="92" spans="1:19" ht="13.5" customHeight="1" x14ac:dyDescent="0.25">
      <c r="A92" s="10"/>
      <c r="B92" s="155" t="s">
        <v>226</v>
      </c>
      <c r="C92" s="156"/>
      <c r="D92" s="156"/>
      <c r="E92" s="156"/>
      <c r="F92" s="156"/>
      <c r="G92" s="148"/>
      <c r="H92" s="149"/>
      <c r="I92" s="153"/>
      <c r="J92" s="39"/>
      <c r="K92" s="10"/>
      <c r="L92" s="155" t="s">
        <v>226</v>
      </c>
      <c r="M92" s="156"/>
      <c r="N92" s="156"/>
      <c r="O92" s="156"/>
      <c r="P92" s="156"/>
      <c r="Q92" s="148"/>
      <c r="R92" s="149"/>
      <c r="S92" s="153"/>
    </row>
    <row r="93" spans="1:19" ht="13.5" customHeight="1" thickBot="1" x14ac:dyDescent="0.3">
      <c r="A93" s="10"/>
      <c r="B93" s="157" t="s">
        <v>227</v>
      </c>
      <c r="C93" s="158"/>
      <c r="D93" s="158"/>
      <c r="E93" s="158"/>
      <c r="F93" s="158"/>
      <c r="G93" s="148"/>
      <c r="H93" s="149"/>
      <c r="I93" s="154"/>
      <c r="J93" s="36"/>
      <c r="K93" s="10"/>
      <c r="L93" s="157" t="s">
        <v>227</v>
      </c>
      <c r="M93" s="158"/>
      <c r="N93" s="158"/>
      <c r="O93" s="158"/>
      <c r="P93" s="158"/>
      <c r="Q93" s="148"/>
      <c r="R93" s="149"/>
      <c r="S93" s="154"/>
    </row>
    <row r="94" spans="1:19" ht="13.5" customHeight="1" thickBot="1" x14ac:dyDescent="0.3">
      <c r="A94" s="10"/>
      <c r="B94" s="159" t="s">
        <v>228</v>
      </c>
      <c r="C94" s="160"/>
      <c r="D94" s="160"/>
      <c r="E94" s="160"/>
      <c r="F94" s="160"/>
      <c r="G94" s="150"/>
      <c r="H94" s="151"/>
      <c r="I94" s="11" t="s">
        <v>229</v>
      </c>
      <c r="J94" s="36"/>
      <c r="K94" s="10"/>
      <c r="L94" s="159" t="s">
        <v>228</v>
      </c>
      <c r="M94" s="160"/>
      <c r="N94" s="160"/>
      <c r="O94" s="160"/>
      <c r="P94" s="160"/>
      <c r="Q94" s="150"/>
      <c r="R94" s="151"/>
      <c r="S94" s="11" t="s">
        <v>229</v>
      </c>
    </row>
    <row r="95" spans="1:19" ht="13.5" customHeight="1" x14ac:dyDescent="0.25">
      <c r="A95" s="12"/>
      <c r="B95" s="125" t="s">
        <v>230</v>
      </c>
      <c r="C95" s="126"/>
      <c r="D95" s="126"/>
      <c r="E95" s="126"/>
      <c r="F95" s="126"/>
      <c r="G95" s="86"/>
      <c r="H95" s="87"/>
      <c r="I95" s="129" t="s">
        <v>220</v>
      </c>
      <c r="J95" s="36"/>
      <c r="K95" s="12"/>
      <c r="L95" s="125" t="s">
        <v>230</v>
      </c>
      <c r="M95" s="126"/>
      <c r="N95" s="126"/>
      <c r="O95" s="126"/>
      <c r="P95" s="126"/>
      <c r="Q95" s="86"/>
      <c r="R95" s="87"/>
      <c r="S95" s="129" t="s">
        <v>220</v>
      </c>
    </row>
    <row r="96" spans="1:19" ht="13.5" customHeight="1" thickBot="1" x14ac:dyDescent="0.3">
      <c r="A96" s="7"/>
      <c r="B96" s="131" t="s">
        <v>231</v>
      </c>
      <c r="C96" s="132"/>
      <c r="D96" s="132"/>
      <c r="E96" s="132"/>
      <c r="F96" s="132"/>
      <c r="G96" s="127"/>
      <c r="H96" s="128"/>
      <c r="I96" s="130"/>
      <c r="J96" s="36"/>
      <c r="K96" s="7"/>
      <c r="L96" s="131" t="s">
        <v>231</v>
      </c>
      <c r="M96" s="132"/>
      <c r="N96" s="132"/>
      <c r="O96" s="132"/>
      <c r="P96" s="132"/>
      <c r="Q96" s="127"/>
      <c r="R96" s="128"/>
      <c r="S96" s="130"/>
    </row>
    <row r="97" spans="1:19" ht="15.75" customHeight="1" thickBot="1" x14ac:dyDescent="0.3">
      <c r="A97" s="13"/>
      <c r="B97" s="133" t="s">
        <v>232</v>
      </c>
      <c r="C97" s="134"/>
      <c r="D97" s="134"/>
      <c r="E97" s="134"/>
      <c r="F97" s="134"/>
      <c r="G97" s="135"/>
      <c r="H97" s="136"/>
      <c r="I97" s="14"/>
      <c r="J97" s="40"/>
      <c r="K97" s="13"/>
      <c r="L97" s="133" t="s">
        <v>232</v>
      </c>
      <c r="M97" s="134"/>
      <c r="N97" s="134"/>
      <c r="O97" s="134"/>
      <c r="P97" s="134"/>
      <c r="Q97" s="135"/>
      <c r="R97" s="136"/>
      <c r="S97" s="14"/>
    </row>
    <row r="98" spans="1:19" ht="15.75" customHeight="1" thickBot="1" x14ac:dyDescent="0.3">
      <c r="A98" s="13"/>
      <c r="B98" s="84" t="s">
        <v>233</v>
      </c>
      <c r="C98" s="85"/>
      <c r="D98" s="85"/>
      <c r="E98" s="85"/>
      <c r="F98" s="85"/>
      <c r="G98" s="86"/>
      <c r="H98" s="87"/>
      <c r="I98" s="92"/>
      <c r="J98" s="41"/>
      <c r="K98" s="13"/>
      <c r="L98" s="84" t="s">
        <v>233</v>
      </c>
      <c r="M98" s="85"/>
      <c r="N98" s="85"/>
      <c r="O98" s="85"/>
      <c r="P98" s="85"/>
      <c r="Q98" s="86"/>
      <c r="R98" s="87"/>
      <c r="S98" s="92"/>
    </row>
    <row r="99" spans="1:19" x14ac:dyDescent="0.25">
      <c r="A99" s="118"/>
      <c r="B99" s="121" t="s">
        <v>226</v>
      </c>
      <c r="C99" s="122"/>
      <c r="D99" s="122"/>
      <c r="E99" s="122"/>
      <c r="F99" s="122"/>
      <c r="G99" s="88"/>
      <c r="H99" s="89"/>
      <c r="I99" s="93"/>
      <c r="J99" s="41"/>
      <c r="K99" s="118"/>
      <c r="L99" s="121" t="s">
        <v>226</v>
      </c>
      <c r="M99" s="122"/>
      <c r="N99" s="122"/>
      <c r="O99" s="122"/>
      <c r="P99" s="122"/>
      <c r="Q99" s="88"/>
      <c r="R99" s="89"/>
      <c r="S99" s="93"/>
    </row>
    <row r="100" spans="1:19" ht="17.25" customHeight="1" x14ac:dyDescent="0.25">
      <c r="A100" s="119"/>
      <c r="B100" s="121" t="s">
        <v>227</v>
      </c>
      <c r="C100" s="122"/>
      <c r="D100" s="122"/>
      <c r="E100" s="122"/>
      <c r="F100" s="122"/>
      <c r="G100" s="88"/>
      <c r="H100" s="89"/>
      <c r="I100" s="93"/>
      <c r="J100" s="41"/>
      <c r="K100" s="119"/>
      <c r="L100" s="121" t="s">
        <v>227</v>
      </c>
      <c r="M100" s="122"/>
      <c r="N100" s="122"/>
      <c r="O100" s="122"/>
      <c r="P100" s="122"/>
      <c r="Q100" s="88"/>
      <c r="R100" s="89"/>
      <c r="S100" s="93"/>
    </row>
    <row r="101" spans="1:19" ht="15" customHeight="1" x14ac:dyDescent="0.25">
      <c r="A101" s="119"/>
      <c r="B101" s="121" t="s">
        <v>228</v>
      </c>
      <c r="C101" s="122"/>
      <c r="D101" s="122"/>
      <c r="E101" s="122"/>
      <c r="F101" s="122"/>
      <c r="G101" s="88"/>
      <c r="H101" s="89"/>
      <c r="I101" s="93"/>
      <c r="J101" s="42"/>
      <c r="K101" s="119"/>
      <c r="L101" s="121" t="s">
        <v>228</v>
      </c>
      <c r="M101" s="122"/>
      <c r="N101" s="122"/>
      <c r="O101" s="122"/>
      <c r="P101" s="122"/>
      <c r="Q101" s="88"/>
      <c r="R101" s="89"/>
      <c r="S101" s="93"/>
    </row>
    <row r="102" spans="1:19" ht="28.5" customHeight="1" thickBot="1" x14ac:dyDescent="0.3">
      <c r="A102" s="120"/>
      <c r="B102" s="123" t="s">
        <v>234</v>
      </c>
      <c r="C102" s="124"/>
      <c r="D102" s="124"/>
      <c r="E102" s="124"/>
      <c r="F102" s="124"/>
      <c r="G102" s="90"/>
      <c r="H102" s="91"/>
      <c r="I102" s="94"/>
      <c r="J102" s="43"/>
      <c r="K102" s="120"/>
      <c r="L102" s="123" t="s">
        <v>234</v>
      </c>
      <c r="M102" s="124"/>
      <c r="N102" s="124"/>
      <c r="O102" s="124"/>
      <c r="P102" s="124"/>
      <c r="Q102" s="90"/>
      <c r="R102" s="91"/>
      <c r="S102" s="94"/>
    </row>
    <row r="103" spans="1:19" ht="1.5" customHeight="1" thickBot="1" x14ac:dyDescent="0.3">
      <c r="A103" s="15"/>
      <c r="B103" s="137" t="s">
        <v>248</v>
      </c>
      <c r="C103" s="138"/>
      <c r="D103" s="138"/>
      <c r="E103" s="138"/>
      <c r="F103" s="138"/>
      <c r="G103" s="139"/>
      <c r="H103" s="140"/>
      <c r="I103" s="16"/>
      <c r="J103" s="44"/>
      <c r="K103" s="15"/>
      <c r="L103" s="137" t="s">
        <v>248</v>
      </c>
      <c r="M103" s="138"/>
      <c r="N103" s="138"/>
      <c r="O103" s="138"/>
      <c r="P103" s="138"/>
      <c r="Q103" s="139"/>
      <c r="R103" s="140"/>
      <c r="S103" s="16"/>
    </row>
    <row r="104" spans="1:19" ht="1.5" customHeight="1" thickBot="1" x14ac:dyDescent="0.3">
      <c r="A104" s="15"/>
      <c r="B104" s="137" t="s">
        <v>235</v>
      </c>
      <c r="C104" s="138"/>
      <c r="D104" s="138"/>
      <c r="E104" s="138"/>
      <c r="F104" s="138"/>
      <c r="G104" s="139"/>
      <c r="H104" s="140"/>
      <c r="I104" s="16"/>
      <c r="J104" s="40"/>
      <c r="K104" s="15"/>
      <c r="L104" s="137" t="s">
        <v>235</v>
      </c>
      <c r="M104" s="138"/>
      <c r="N104" s="138"/>
      <c r="O104" s="138"/>
      <c r="P104" s="138"/>
      <c r="Q104" s="139"/>
      <c r="R104" s="140"/>
      <c r="S104" s="16"/>
    </row>
    <row r="105" spans="1:19" ht="29.25" customHeight="1" thickBot="1" x14ac:dyDescent="0.3">
      <c r="A105" s="17"/>
      <c r="B105" s="78" t="s">
        <v>237</v>
      </c>
      <c r="C105" s="79"/>
      <c r="D105" s="79"/>
      <c r="E105" s="79"/>
      <c r="F105" s="79"/>
      <c r="G105" s="86"/>
      <c r="H105" s="87"/>
      <c r="I105" s="108" t="s">
        <v>229</v>
      </c>
      <c r="J105" s="27"/>
      <c r="K105" s="17"/>
      <c r="L105" s="78" t="s">
        <v>237</v>
      </c>
      <c r="M105" s="79"/>
      <c r="N105" s="79"/>
      <c r="O105" s="79"/>
      <c r="P105" s="79"/>
      <c r="Q105" s="86"/>
      <c r="R105" s="87"/>
      <c r="S105" s="108" t="s">
        <v>229</v>
      </c>
    </row>
    <row r="106" spans="1:19" ht="15" customHeight="1" thickBot="1" x14ac:dyDescent="0.3">
      <c r="A106" s="18"/>
      <c r="B106" s="110" t="s">
        <v>238</v>
      </c>
      <c r="C106" s="111"/>
      <c r="D106" s="111"/>
      <c r="E106" s="111"/>
      <c r="F106" s="111"/>
      <c r="G106" s="90"/>
      <c r="H106" s="91"/>
      <c r="I106" s="109"/>
      <c r="J106" s="45"/>
      <c r="K106" s="18"/>
      <c r="L106" s="110" t="s">
        <v>238</v>
      </c>
      <c r="M106" s="111"/>
      <c r="N106" s="111"/>
      <c r="O106" s="111"/>
      <c r="P106" s="111"/>
      <c r="Q106" s="90"/>
      <c r="R106" s="91"/>
      <c r="S106" s="109"/>
    </row>
    <row r="107" spans="1:19" ht="24" customHeight="1" thickBot="1" x14ac:dyDescent="0.3">
      <c r="A107" s="19"/>
      <c r="B107" s="112" t="s">
        <v>239</v>
      </c>
      <c r="C107" s="113"/>
      <c r="D107" s="113"/>
      <c r="E107" s="113"/>
      <c r="F107" s="113"/>
      <c r="G107" s="114">
        <f>SUM(G86:H106)</f>
        <v>1148.2</v>
      </c>
      <c r="H107" s="115"/>
      <c r="I107" s="20"/>
      <c r="J107" s="46"/>
      <c r="K107" s="19"/>
      <c r="L107" s="112" t="s">
        <v>239</v>
      </c>
      <c r="M107" s="113"/>
      <c r="N107" s="113"/>
      <c r="O107" s="113"/>
      <c r="P107" s="113"/>
      <c r="Q107" s="114">
        <f>SUM(Q86:R106)</f>
        <v>1713.4</v>
      </c>
      <c r="R107" s="115"/>
      <c r="S107" s="20"/>
    </row>
    <row r="108" spans="1:19" ht="24" customHeight="1" thickBot="1" x14ac:dyDescent="0.3">
      <c r="A108" s="21"/>
      <c r="B108" s="101" t="s">
        <v>240</v>
      </c>
      <c r="C108" s="102"/>
      <c r="D108" s="102"/>
      <c r="E108" s="102"/>
      <c r="F108" s="102"/>
      <c r="G108" s="116">
        <f>G107*1.2</f>
        <v>1377.84</v>
      </c>
      <c r="H108" s="117"/>
      <c r="I108" s="22"/>
      <c r="J108" s="47"/>
      <c r="K108" s="21"/>
      <c r="L108" s="101" t="s">
        <v>240</v>
      </c>
      <c r="M108" s="102"/>
      <c r="N108" s="102"/>
      <c r="O108" s="102"/>
      <c r="P108" s="102"/>
      <c r="Q108" s="116">
        <f>Q107*1.2</f>
        <v>2056.08</v>
      </c>
      <c r="R108" s="117"/>
      <c r="S108" s="22"/>
    </row>
    <row r="109" spans="1:19" ht="24" customHeight="1" thickBot="1" x14ac:dyDescent="0.3">
      <c r="A109" s="24"/>
      <c r="B109" s="96" t="s">
        <v>443</v>
      </c>
      <c r="C109" s="97"/>
      <c r="D109" s="97"/>
      <c r="E109" s="97"/>
      <c r="F109" s="97"/>
      <c r="G109" s="311">
        <v>1215.1199999999999</v>
      </c>
      <c r="H109" s="312"/>
      <c r="I109" s="313"/>
      <c r="J109" s="47"/>
      <c r="K109" s="24"/>
      <c r="L109" s="96" t="s">
        <v>443</v>
      </c>
      <c r="M109" s="97"/>
      <c r="N109" s="97"/>
      <c r="O109" s="97"/>
      <c r="P109" s="97"/>
      <c r="Q109" s="311">
        <v>1509</v>
      </c>
      <c r="R109" s="312"/>
      <c r="S109" s="313"/>
    </row>
    <row r="110" spans="1:19" ht="24" customHeight="1" thickBot="1" x14ac:dyDescent="0.3">
      <c r="A110" s="19"/>
      <c r="B110" s="101" t="s">
        <v>242</v>
      </c>
      <c r="C110" s="102"/>
      <c r="D110" s="102"/>
      <c r="E110" s="102"/>
      <c r="F110" s="102"/>
      <c r="G110" s="307">
        <v>4737.83</v>
      </c>
      <c r="H110" s="308"/>
      <c r="I110" s="309"/>
      <c r="J110" s="47"/>
      <c r="K110" s="19"/>
      <c r="L110" s="101" t="s">
        <v>242</v>
      </c>
      <c r="M110" s="102"/>
      <c r="N110" s="102"/>
      <c r="O110" s="102"/>
      <c r="P110" s="102"/>
      <c r="Q110" s="307">
        <v>1022.04</v>
      </c>
      <c r="R110" s="308"/>
      <c r="S110" s="309"/>
    </row>
    <row r="111" spans="1:19" ht="24" customHeight="1" thickBot="1" x14ac:dyDescent="0.3">
      <c r="A111" s="19"/>
      <c r="B111" s="106" t="s">
        <v>444</v>
      </c>
      <c r="C111" s="107"/>
      <c r="D111" s="107"/>
      <c r="E111" s="107"/>
      <c r="F111" s="107"/>
      <c r="G111" s="307">
        <v>101.26</v>
      </c>
      <c r="H111" s="308"/>
      <c r="I111" s="309"/>
      <c r="J111" s="47"/>
      <c r="K111" s="19"/>
      <c r="L111" s="106" t="s">
        <v>444</v>
      </c>
      <c r="M111" s="107"/>
      <c r="N111" s="107"/>
      <c r="O111" s="107"/>
      <c r="P111" s="107"/>
      <c r="Q111" s="307">
        <v>490.53</v>
      </c>
      <c r="R111" s="308"/>
      <c r="S111" s="309"/>
    </row>
    <row r="112" spans="1:19" x14ac:dyDescent="0.25">
      <c r="A112" s="4"/>
      <c r="B112" s="26"/>
      <c r="C112" s="26"/>
      <c r="D112" s="26"/>
      <c r="E112" s="26"/>
      <c r="F112" s="26"/>
      <c r="G112" s="27"/>
      <c r="H112" s="3"/>
      <c r="I112" s="3"/>
      <c r="K112" s="4"/>
      <c r="L112" s="26"/>
      <c r="M112" s="26"/>
      <c r="N112" s="26"/>
      <c r="O112" s="26"/>
      <c r="P112" s="26"/>
      <c r="Q112" s="27"/>
      <c r="R112" s="3"/>
      <c r="S112" s="3"/>
    </row>
    <row r="113" spans="1:19" x14ac:dyDescent="0.25">
      <c r="E113" s="50"/>
      <c r="I113" s="5"/>
      <c r="O113" s="50"/>
      <c r="S113" s="5"/>
    </row>
    <row r="114" spans="1:19" x14ac:dyDescent="0.25">
      <c r="A114" s="3"/>
      <c r="I114" s="5"/>
      <c r="K114" s="3"/>
      <c r="S114" s="5"/>
    </row>
    <row r="115" spans="1:19" ht="15.75" x14ac:dyDescent="0.25">
      <c r="A115" s="3"/>
      <c r="B115" s="3"/>
      <c r="C115" s="3"/>
      <c r="D115" s="3"/>
      <c r="E115" s="4" t="s">
        <v>204</v>
      </c>
      <c r="F115" s="3"/>
      <c r="G115" s="3"/>
      <c r="H115" s="3"/>
      <c r="I115" s="3"/>
      <c r="K115" s="30"/>
      <c r="L115" s="30"/>
    </row>
    <row r="116" spans="1:19" x14ac:dyDescent="0.25">
      <c r="A116" s="3" t="s">
        <v>205</v>
      </c>
      <c r="B116" s="3"/>
      <c r="C116" s="3"/>
      <c r="D116" s="3" t="s">
        <v>705</v>
      </c>
      <c r="E116" s="3"/>
      <c r="F116" s="3"/>
      <c r="G116" s="3"/>
      <c r="H116" s="3"/>
      <c r="I116" s="3"/>
    </row>
    <row r="117" spans="1:19" x14ac:dyDescent="0.25">
      <c r="A117" s="3"/>
      <c r="B117" s="5" t="s">
        <v>440</v>
      </c>
      <c r="C117" s="3"/>
      <c r="D117" s="3"/>
      <c r="E117" s="3"/>
      <c r="F117" s="3"/>
      <c r="G117" s="3"/>
      <c r="H117" s="3"/>
      <c r="I117" s="3"/>
    </row>
    <row r="118" spans="1:19" ht="15.75" thickBot="1" x14ac:dyDescent="0.3">
      <c r="A118" s="3"/>
      <c r="B118" s="5" t="s">
        <v>206</v>
      </c>
      <c r="C118" s="3"/>
      <c r="D118" s="3"/>
      <c r="E118" s="3"/>
      <c r="F118" s="3">
        <v>2687.9</v>
      </c>
      <c r="G118" s="3" t="s">
        <v>207</v>
      </c>
      <c r="H118" s="3"/>
      <c r="I118" s="3"/>
    </row>
    <row r="119" spans="1:19" x14ac:dyDescent="0.25">
      <c r="A119" s="175" t="s">
        <v>209</v>
      </c>
      <c r="B119" s="177" t="s">
        <v>210</v>
      </c>
      <c r="C119" s="178"/>
      <c r="D119" s="178"/>
      <c r="E119" s="178"/>
      <c r="F119" s="178"/>
      <c r="G119" s="180" t="s">
        <v>441</v>
      </c>
      <c r="H119" s="181"/>
      <c r="I119" s="175" t="s">
        <v>212</v>
      </c>
    </row>
    <row r="120" spans="1:19" ht="48" customHeight="1" thickBot="1" x14ac:dyDescent="0.3">
      <c r="A120" s="176"/>
      <c r="B120" s="179"/>
      <c r="C120" s="179"/>
      <c r="D120" s="179"/>
      <c r="E120" s="179"/>
      <c r="F120" s="179"/>
      <c r="G120" s="182"/>
      <c r="H120" s="183"/>
      <c r="I120" s="184"/>
    </row>
    <row r="121" spans="1:19" x14ac:dyDescent="0.25">
      <c r="A121" s="185" t="s">
        <v>213</v>
      </c>
      <c r="B121" s="187" t="s">
        <v>354</v>
      </c>
      <c r="C121" s="188"/>
      <c r="D121" s="188"/>
      <c r="E121" s="188"/>
      <c r="F121" s="188"/>
      <c r="G121" s="190">
        <v>20317.07</v>
      </c>
      <c r="H121" s="191"/>
      <c r="I121" s="192"/>
    </row>
    <row r="122" spans="1:19" ht="15.75" thickBot="1" x14ac:dyDescent="0.3">
      <c r="A122" s="186"/>
      <c r="B122" s="189"/>
      <c r="C122" s="189"/>
      <c r="D122" s="189"/>
      <c r="E122" s="189"/>
      <c r="F122" s="189"/>
      <c r="G122" s="193"/>
      <c r="H122" s="194"/>
      <c r="I122" s="128"/>
    </row>
    <row r="123" spans="1:19" ht="20.25" customHeight="1" x14ac:dyDescent="0.25">
      <c r="A123" s="6"/>
      <c r="B123" s="161" t="s">
        <v>214</v>
      </c>
      <c r="C123" s="162"/>
      <c r="D123" s="162"/>
      <c r="E123" s="162"/>
      <c r="F123" s="162"/>
      <c r="G123" s="163">
        <f>(1.846+1.769/1.4)*F118*12</f>
        <v>100298.60451428573</v>
      </c>
      <c r="H123" s="164"/>
      <c r="I123" s="169" t="s">
        <v>215</v>
      </c>
    </row>
    <row r="124" spans="1:19" ht="35.25" customHeight="1" thickBot="1" x14ac:dyDescent="0.3">
      <c r="A124" s="7"/>
      <c r="B124" s="171" t="s">
        <v>216</v>
      </c>
      <c r="C124" s="172"/>
      <c r="D124" s="172"/>
      <c r="E124" s="172"/>
      <c r="F124" s="172"/>
      <c r="G124" s="165"/>
      <c r="H124" s="166"/>
      <c r="I124" s="170"/>
    </row>
    <row r="125" spans="1:19" ht="20.25" customHeight="1" thickBot="1" x14ac:dyDescent="0.3">
      <c r="A125" s="7"/>
      <c r="B125" s="173" t="s">
        <v>217</v>
      </c>
      <c r="C125" s="174"/>
      <c r="D125" s="174"/>
      <c r="E125" s="174"/>
      <c r="F125" s="174"/>
      <c r="G125" s="167"/>
      <c r="H125" s="168"/>
      <c r="I125" s="8" t="s">
        <v>218</v>
      </c>
    </row>
    <row r="126" spans="1:19" ht="20.25" customHeight="1" thickBot="1" x14ac:dyDescent="0.3">
      <c r="A126" s="7"/>
      <c r="B126" s="141" t="s">
        <v>219</v>
      </c>
      <c r="C126" s="142"/>
      <c r="D126" s="142"/>
      <c r="E126" s="142"/>
      <c r="F126" s="142"/>
      <c r="G126" s="143">
        <v>0</v>
      </c>
      <c r="H126" s="144"/>
      <c r="I126" s="8" t="s">
        <v>220</v>
      </c>
    </row>
    <row r="127" spans="1:19" ht="20.25" customHeight="1" thickBot="1" x14ac:dyDescent="0.3">
      <c r="A127" s="7"/>
      <c r="B127" s="141" t="s">
        <v>221</v>
      </c>
      <c r="C127" s="142"/>
      <c r="D127" s="142"/>
      <c r="E127" s="142"/>
      <c r="F127" s="142"/>
      <c r="G127" s="143">
        <f>0.237*F118*12</f>
        <v>7644.3876</v>
      </c>
      <c r="H127" s="144"/>
      <c r="I127" s="8" t="s">
        <v>222</v>
      </c>
    </row>
    <row r="128" spans="1:19" ht="42.75" customHeight="1" x14ac:dyDescent="0.25">
      <c r="A128" s="9"/>
      <c r="B128" s="145" t="s">
        <v>223</v>
      </c>
      <c r="C128" s="146"/>
      <c r="D128" s="146"/>
      <c r="E128" s="146"/>
      <c r="F128" s="146"/>
      <c r="G128" s="86">
        <f>1.305*F118*12</f>
        <v>42092.513999999996</v>
      </c>
      <c r="H128" s="147"/>
      <c r="I128" s="152" t="s">
        <v>224</v>
      </c>
    </row>
    <row r="129" spans="1:9" ht="20.25" customHeight="1" x14ac:dyDescent="0.25">
      <c r="A129" s="10"/>
      <c r="B129" s="155" t="s">
        <v>226</v>
      </c>
      <c r="C129" s="156"/>
      <c r="D129" s="156"/>
      <c r="E129" s="156"/>
      <c r="F129" s="156"/>
      <c r="G129" s="148"/>
      <c r="H129" s="149"/>
      <c r="I129" s="153"/>
    </row>
    <row r="130" spans="1:9" ht="20.25" customHeight="1" thickBot="1" x14ac:dyDescent="0.3">
      <c r="A130" s="10"/>
      <c r="B130" s="157" t="s">
        <v>227</v>
      </c>
      <c r="C130" s="158"/>
      <c r="D130" s="158"/>
      <c r="E130" s="158"/>
      <c r="F130" s="158"/>
      <c r="G130" s="148"/>
      <c r="H130" s="149"/>
      <c r="I130" s="154"/>
    </row>
    <row r="131" spans="1:9" ht="20.25" customHeight="1" thickBot="1" x14ac:dyDescent="0.3">
      <c r="A131" s="10"/>
      <c r="B131" s="159" t="s">
        <v>228</v>
      </c>
      <c r="C131" s="160"/>
      <c r="D131" s="160"/>
      <c r="E131" s="160"/>
      <c r="F131" s="160"/>
      <c r="G131" s="150"/>
      <c r="H131" s="151"/>
      <c r="I131" s="11" t="s">
        <v>229</v>
      </c>
    </row>
    <row r="132" spans="1:9" ht="20.25" customHeight="1" x14ac:dyDescent="0.25">
      <c r="A132" s="12"/>
      <c r="B132" s="125" t="s">
        <v>230</v>
      </c>
      <c r="C132" s="126"/>
      <c r="D132" s="126"/>
      <c r="E132" s="126"/>
      <c r="F132" s="126"/>
      <c r="G132" s="86">
        <f>0.022*12*F118</f>
        <v>709.60560000000009</v>
      </c>
      <c r="H132" s="87"/>
      <c r="I132" s="129" t="s">
        <v>220</v>
      </c>
    </row>
    <row r="133" spans="1:9" ht="20.25" customHeight="1" thickBot="1" x14ac:dyDescent="0.3">
      <c r="A133" s="7"/>
      <c r="B133" s="131" t="s">
        <v>231</v>
      </c>
      <c r="C133" s="132"/>
      <c r="D133" s="132"/>
      <c r="E133" s="132"/>
      <c r="F133" s="132"/>
      <c r="G133" s="127"/>
      <c r="H133" s="128"/>
      <c r="I133" s="130"/>
    </row>
    <row r="134" spans="1:9" ht="20.25" customHeight="1" thickBot="1" x14ac:dyDescent="0.3">
      <c r="A134" s="13"/>
      <c r="B134" s="133" t="s">
        <v>232</v>
      </c>
      <c r="C134" s="134"/>
      <c r="D134" s="134"/>
      <c r="E134" s="134"/>
      <c r="F134" s="134"/>
      <c r="G134" s="135"/>
      <c r="H134" s="136"/>
      <c r="I134" s="14"/>
    </row>
    <row r="135" spans="1:9" ht="20.25" customHeight="1" thickBot="1" x14ac:dyDescent="0.3">
      <c r="A135" s="13"/>
      <c r="B135" s="84" t="s">
        <v>233</v>
      </c>
      <c r="C135" s="85"/>
      <c r="D135" s="85"/>
      <c r="E135" s="85"/>
      <c r="F135" s="85"/>
      <c r="G135" s="86">
        <f>(0.31+0.2)*F118*12</f>
        <v>16449.948000000004</v>
      </c>
      <c r="H135" s="87"/>
      <c r="I135" s="92"/>
    </row>
    <row r="136" spans="1:9" ht="20.25" customHeight="1" x14ac:dyDescent="0.25">
      <c r="A136" s="118"/>
      <c r="B136" s="121" t="s">
        <v>226</v>
      </c>
      <c r="C136" s="122"/>
      <c r="D136" s="122"/>
      <c r="E136" s="122"/>
      <c r="F136" s="122"/>
      <c r="G136" s="88"/>
      <c r="H136" s="89"/>
      <c r="I136" s="93"/>
    </row>
    <row r="137" spans="1:9" ht="20.25" customHeight="1" x14ac:dyDescent="0.25">
      <c r="A137" s="119"/>
      <c r="B137" s="121" t="s">
        <v>227</v>
      </c>
      <c r="C137" s="122"/>
      <c r="D137" s="122"/>
      <c r="E137" s="122"/>
      <c r="F137" s="122"/>
      <c r="G137" s="88"/>
      <c r="H137" s="89"/>
      <c r="I137" s="93"/>
    </row>
    <row r="138" spans="1:9" ht="20.25" customHeight="1" x14ac:dyDescent="0.25">
      <c r="A138" s="119"/>
      <c r="B138" s="121" t="s">
        <v>228</v>
      </c>
      <c r="C138" s="122"/>
      <c r="D138" s="122"/>
      <c r="E138" s="122"/>
      <c r="F138" s="122"/>
      <c r="G138" s="88"/>
      <c r="H138" s="89"/>
      <c r="I138" s="93"/>
    </row>
    <row r="139" spans="1:9" ht="38.25" customHeight="1" thickBot="1" x14ac:dyDescent="0.3">
      <c r="A139" s="120"/>
      <c r="B139" s="123" t="s">
        <v>234</v>
      </c>
      <c r="C139" s="124"/>
      <c r="D139" s="124"/>
      <c r="E139" s="124"/>
      <c r="F139" s="124"/>
      <c r="G139" s="90"/>
      <c r="H139" s="91"/>
      <c r="I139" s="94"/>
    </row>
    <row r="140" spans="1:9" ht="20.25" customHeight="1" thickBot="1" x14ac:dyDescent="0.3">
      <c r="A140" s="15"/>
      <c r="B140" s="137" t="s">
        <v>248</v>
      </c>
      <c r="C140" s="138"/>
      <c r="D140" s="138"/>
      <c r="E140" s="138"/>
      <c r="F140" s="138"/>
      <c r="G140" s="139"/>
      <c r="H140" s="140"/>
      <c r="I140" s="16"/>
    </row>
    <row r="141" spans="1:9" ht="20.25" customHeight="1" thickBot="1" x14ac:dyDescent="0.3">
      <c r="A141" s="15"/>
      <c r="B141" s="137" t="s">
        <v>235</v>
      </c>
      <c r="C141" s="138"/>
      <c r="D141" s="138"/>
      <c r="E141" s="138"/>
      <c r="F141" s="138"/>
      <c r="G141" s="139"/>
      <c r="H141" s="140"/>
      <c r="I141" s="16"/>
    </row>
    <row r="142" spans="1:9" ht="35.25" customHeight="1" thickBot="1" x14ac:dyDescent="0.3">
      <c r="A142" s="17"/>
      <c r="B142" s="78" t="s">
        <v>237</v>
      </c>
      <c r="C142" s="79"/>
      <c r="D142" s="79"/>
      <c r="E142" s="79"/>
      <c r="F142" s="79"/>
      <c r="G142" s="86"/>
      <c r="H142" s="87"/>
      <c r="I142" s="108" t="s">
        <v>229</v>
      </c>
    </row>
    <row r="143" spans="1:9" ht="20.25" customHeight="1" thickBot="1" x14ac:dyDescent="0.3">
      <c r="A143" s="18"/>
      <c r="B143" s="110" t="s">
        <v>238</v>
      </c>
      <c r="C143" s="111"/>
      <c r="D143" s="111"/>
      <c r="E143" s="111"/>
      <c r="F143" s="111"/>
      <c r="G143" s="90"/>
      <c r="H143" s="91"/>
      <c r="I143" s="109"/>
    </row>
    <row r="144" spans="1:9" ht="20.25" customHeight="1" thickBot="1" x14ac:dyDescent="0.3">
      <c r="A144" s="19"/>
      <c r="B144" s="112" t="s">
        <v>239</v>
      </c>
      <c r="C144" s="113"/>
      <c r="D144" s="113"/>
      <c r="E144" s="113"/>
      <c r="F144" s="113"/>
      <c r="G144" s="114">
        <f>SUM(G123:H143)</f>
        <v>167195.05971428574</v>
      </c>
      <c r="H144" s="115"/>
      <c r="I144" s="20"/>
    </row>
    <row r="145" spans="1:9" ht="20.25" customHeight="1" thickBot="1" x14ac:dyDescent="0.3">
      <c r="A145" s="21"/>
      <c r="B145" s="101" t="s">
        <v>240</v>
      </c>
      <c r="C145" s="102"/>
      <c r="D145" s="102"/>
      <c r="E145" s="102"/>
      <c r="F145" s="102"/>
      <c r="G145" s="116">
        <f>G144*1.2</f>
        <v>200634.07165714289</v>
      </c>
      <c r="H145" s="117"/>
      <c r="I145" s="22"/>
    </row>
    <row r="146" spans="1:9" ht="20.25" customHeight="1" thickBot="1" x14ac:dyDescent="0.3">
      <c r="A146" s="24"/>
      <c r="B146" s="96" t="s">
        <v>443</v>
      </c>
      <c r="C146" s="97"/>
      <c r="D146" s="97"/>
      <c r="E146" s="97"/>
      <c r="F146" s="97"/>
      <c r="G146" s="311">
        <v>200549.39</v>
      </c>
      <c r="H146" s="312"/>
      <c r="I146" s="313"/>
    </row>
    <row r="147" spans="1:9" ht="20.25" customHeight="1" thickBot="1" x14ac:dyDescent="0.3">
      <c r="A147" s="19"/>
      <c r="B147" s="101" t="s">
        <v>242</v>
      </c>
      <c r="C147" s="102"/>
      <c r="D147" s="102"/>
      <c r="E147" s="102"/>
      <c r="F147" s="102"/>
      <c r="G147" s="307">
        <v>197718.31</v>
      </c>
      <c r="H147" s="308"/>
      <c r="I147" s="309"/>
    </row>
    <row r="148" spans="1:9" ht="20.25" customHeight="1" thickBot="1" x14ac:dyDescent="0.3">
      <c r="A148" s="19"/>
      <c r="B148" s="106" t="s">
        <v>444</v>
      </c>
      <c r="C148" s="107"/>
      <c r="D148" s="107"/>
      <c r="E148" s="107"/>
      <c r="F148" s="107"/>
      <c r="G148" s="307">
        <v>23148.15</v>
      </c>
      <c r="H148" s="308"/>
      <c r="I148" s="309"/>
    </row>
  </sheetData>
  <mergeCells count="378">
    <mergeCell ref="B147:F147"/>
    <mergeCell ref="G147:I147"/>
    <mergeCell ref="B148:F148"/>
    <mergeCell ref="G148:I148"/>
    <mergeCell ref="B142:F142"/>
    <mergeCell ref="G142:H143"/>
    <mergeCell ref="I142:I143"/>
    <mergeCell ref="B143:F143"/>
    <mergeCell ref="B144:F144"/>
    <mergeCell ref="G144:H144"/>
    <mergeCell ref="B145:F145"/>
    <mergeCell ref="G145:H145"/>
    <mergeCell ref="B146:F146"/>
    <mergeCell ref="G146:I146"/>
    <mergeCell ref="A136:A139"/>
    <mergeCell ref="B136:F136"/>
    <mergeCell ref="B137:F137"/>
    <mergeCell ref="B138:F138"/>
    <mergeCell ref="B139:F139"/>
    <mergeCell ref="B140:F140"/>
    <mergeCell ref="G140:H140"/>
    <mergeCell ref="B141:F141"/>
    <mergeCell ref="G141:H141"/>
    <mergeCell ref="B132:F132"/>
    <mergeCell ref="G132:H133"/>
    <mergeCell ref="I132:I133"/>
    <mergeCell ref="B133:F133"/>
    <mergeCell ref="B134:F134"/>
    <mergeCell ref="G134:H134"/>
    <mergeCell ref="B135:F135"/>
    <mergeCell ref="G135:H139"/>
    <mergeCell ref="I135:I139"/>
    <mergeCell ref="B126:F126"/>
    <mergeCell ref="G126:H126"/>
    <mergeCell ref="B127:F127"/>
    <mergeCell ref="G127:H127"/>
    <mergeCell ref="B128:F128"/>
    <mergeCell ref="G128:H131"/>
    <mergeCell ref="I128:I130"/>
    <mergeCell ref="B129:F129"/>
    <mergeCell ref="B130:F130"/>
    <mergeCell ref="B131:F131"/>
    <mergeCell ref="A119:A120"/>
    <mergeCell ref="B119:F120"/>
    <mergeCell ref="G119:H120"/>
    <mergeCell ref="I119:I120"/>
    <mergeCell ref="A121:A122"/>
    <mergeCell ref="B121:F122"/>
    <mergeCell ref="G121:I122"/>
    <mergeCell ref="B123:F123"/>
    <mergeCell ref="G123:H125"/>
    <mergeCell ref="I123:I124"/>
    <mergeCell ref="B124:F124"/>
    <mergeCell ref="B125:F125"/>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B28:F28"/>
    <mergeCell ref="G28:H29"/>
    <mergeCell ref="I28:I29"/>
    <mergeCell ref="L28:P28"/>
    <mergeCell ref="Q28:R29"/>
    <mergeCell ref="S28:S29"/>
    <mergeCell ref="B29:F29"/>
    <mergeCell ref="L29:P29"/>
    <mergeCell ref="B26:F26"/>
    <mergeCell ref="G26:H26"/>
    <mergeCell ref="L26:P26"/>
    <mergeCell ref="Q26:R26"/>
    <mergeCell ref="B27:F27"/>
    <mergeCell ref="G27:H27"/>
    <mergeCell ref="L27:P27"/>
    <mergeCell ref="Q27:R27"/>
    <mergeCell ref="B32:F32"/>
    <mergeCell ref="G32:I32"/>
    <mergeCell ref="L32:P32"/>
    <mergeCell ref="Q32:S32"/>
    <mergeCell ref="B33:F33"/>
    <mergeCell ref="G33:I33"/>
    <mergeCell ref="L33:P33"/>
    <mergeCell ref="Q33:S33"/>
    <mergeCell ref="B30:F30"/>
    <mergeCell ref="G30:H30"/>
    <mergeCell ref="L30:P30"/>
    <mergeCell ref="Q30:R30"/>
    <mergeCell ref="B31:F31"/>
    <mergeCell ref="G31:H31"/>
    <mergeCell ref="L31:P31"/>
    <mergeCell ref="Q31:R31"/>
    <mergeCell ref="Q43:R44"/>
    <mergeCell ref="S43:S44"/>
    <mergeCell ref="A45:A46"/>
    <mergeCell ref="B45:F46"/>
    <mergeCell ref="G45:I46"/>
    <mergeCell ref="K45:K46"/>
    <mergeCell ref="L45:P46"/>
    <mergeCell ref="Q45:S46"/>
    <mergeCell ref="B34:F34"/>
    <mergeCell ref="G34:I34"/>
    <mergeCell ref="L34:P34"/>
    <mergeCell ref="Q34:S34"/>
    <mergeCell ref="A43:A44"/>
    <mergeCell ref="B43:F44"/>
    <mergeCell ref="G43:H44"/>
    <mergeCell ref="I43:I44"/>
    <mergeCell ref="K43:K44"/>
    <mergeCell ref="L43:P44"/>
    <mergeCell ref="B47:F47"/>
    <mergeCell ref="G47:H49"/>
    <mergeCell ref="I47:I48"/>
    <mergeCell ref="L47:P47"/>
    <mergeCell ref="Q47:R49"/>
    <mergeCell ref="S47:S48"/>
    <mergeCell ref="B48:F48"/>
    <mergeCell ref="L48:P48"/>
    <mergeCell ref="B49:F49"/>
    <mergeCell ref="L49:P49"/>
    <mergeCell ref="B54:F54"/>
    <mergeCell ref="L54:P54"/>
    <mergeCell ref="B50:F50"/>
    <mergeCell ref="G50:H50"/>
    <mergeCell ref="L50:P50"/>
    <mergeCell ref="Q50:R50"/>
    <mergeCell ref="B51:F51"/>
    <mergeCell ref="G51:H51"/>
    <mergeCell ref="L51:P51"/>
    <mergeCell ref="Q51:R51"/>
    <mergeCell ref="B52:F52"/>
    <mergeCell ref="G52:H55"/>
    <mergeCell ref="I52:I54"/>
    <mergeCell ref="L52:P52"/>
    <mergeCell ref="B59:F59"/>
    <mergeCell ref="G59:H63"/>
    <mergeCell ref="I59:I63"/>
    <mergeCell ref="L59:P59"/>
    <mergeCell ref="Q52:R55"/>
    <mergeCell ref="B55:F55"/>
    <mergeCell ref="L55:P55"/>
    <mergeCell ref="Q59:R63"/>
    <mergeCell ref="S59:S63"/>
    <mergeCell ref="Q56:R57"/>
    <mergeCell ref="S56:S57"/>
    <mergeCell ref="B57:F57"/>
    <mergeCell ref="L57:P57"/>
    <mergeCell ref="B58:F58"/>
    <mergeCell ref="G58:H58"/>
    <mergeCell ref="L58:P58"/>
    <mergeCell ref="Q58:R58"/>
    <mergeCell ref="B56:F56"/>
    <mergeCell ref="G56:H57"/>
    <mergeCell ref="I56:I57"/>
    <mergeCell ref="L56:P56"/>
    <mergeCell ref="S52:S54"/>
    <mergeCell ref="B53:F53"/>
    <mergeCell ref="L53:P53"/>
    <mergeCell ref="A60:A63"/>
    <mergeCell ref="B60:F60"/>
    <mergeCell ref="K60:K63"/>
    <mergeCell ref="L60:P60"/>
    <mergeCell ref="B61:F61"/>
    <mergeCell ref="L61:P61"/>
    <mergeCell ref="B62:F62"/>
    <mergeCell ref="L62:P62"/>
    <mergeCell ref="B63:F63"/>
    <mergeCell ref="L63:P63"/>
    <mergeCell ref="B66:F66"/>
    <mergeCell ref="G66:H67"/>
    <mergeCell ref="I66:I67"/>
    <mergeCell ref="L66:P66"/>
    <mergeCell ref="Q66:R67"/>
    <mergeCell ref="S66:S67"/>
    <mergeCell ref="B67:F67"/>
    <mergeCell ref="L67:P67"/>
    <mergeCell ref="B64:F64"/>
    <mergeCell ref="G64:H64"/>
    <mergeCell ref="L64:P64"/>
    <mergeCell ref="Q64:R64"/>
    <mergeCell ref="B65:F65"/>
    <mergeCell ref="G65:H65"/>
    <mergeCell ref="L65:P65"/>
    <mergeCell ref="Q65:R65"/>
    <mergeCell ref="B70:F70"/>
    <mergeCell ref="G70:I70"/>
    <mergeCell ref="L70:P70"/>
    <mergeCell ref="Q70:S70"/>
    <mergeCell ref="B71:F71"/>
    <mergeCell ref="G71:I71"/>
    <mergeCell ref="L71:P71"/>
    <mergeCell ref="Q71:S71"/>
    <mergeCell ref="B68:F68"/>
    <mergeCell ref="G68:H68"/>
    <mergeCell ref="L68:P68"/>
    <mergeCell ref="Q68:R68"/>
    <mergeCell ref="B69:F69"/>
    <mergeCell ref="G69:H69"/>
    <mergeCell ref="L69:P69"/>
    <mergeCell ref="Q69:R69"/>
    <mergeCell ref="Q82:R83"/>
    <mergeCell ref="S82:S83"/>
    <mergeCell ref="A84:A85"/>
    <mergeCell ref="B84:F85"/>
    <mergeCell ref="G84:I85"/>
    <mergeCell ref="K84:K85"/>
    <mergeCell ref="L84:P85"/>
    <mergeCell ref="Q84:S85"/>
    <mergeCell ref="B72:F72"/>
    <mergeCell ref="G72:I72"/>
    <mergeCell ref="L72:P72"/>
    <mergeCell ref="Q72:S72"/>
    <mergeCell ref="A82:A83"/>
    <mergeCell ref="B82:F83"/>
    <mergeCell ref="G82:H83"/>
    <mergeCell ref="I82:I83"/>
    <mergeCell ref="K82:K83"/>
    <mergeCell ref="L82:P83"/>
    <mergeCell ref="B86:F86"/>
    <mergeCell ref="G86:H88"/>
    <mergeCell ref="I86:I87"/>
    <mergeCell ref="L86:P86"/>
    <mergeCell ref="Q86:R88"/>
    <mergeCell ref="S86:S87"/>
    <mergeCell ref="B87:F87"/>
    <mergeCell ref="L87:P87"/>
    <mergeCell ref="B88:F88"/>
    <mergeCell ref="L88:P88"/>
    <mergeCell ref="B93:F93"/>
    <mergeCell ref="L93:P93"/>
    <mergeCell ref="B89:F89"/>
    <mergeCell ref="G89:H89"/>
    <mergeCell ref="L89:P89"/>
    <mergeCell ref="Q89:R89"/>
    <mergeCell ref="B90:F90"/>
    <mergeCell ref="G90:H90"/>
    <mergeCell ref="L90:P90"/>
    <mergeCell ref="Q90:R90"/>
    <mergeCell ref="B91:F91"/>
    <mergeCell ref="G91:H94"/>
    <mergeCell ref="I91:I93"/>
    <mergeCell ref="L91:P91"/>
    <mergeCell ref="B98:F98"/>
    <mergeCell ref="G98:H102"/>
    <mergeCell ref="I98:I102"/>
    <mergeCell ref="L98:P98"/>
    <mergeCell ref="Q91:R94"/>
    <mergeCell ref="B94:F94"/>
    <mergeCell ref="L94:P94"/>
    <mergeCell ref="Q98:R102"/>
    <mergeCell ref="S98:S102"/>
    <mergeCell ref="Q95:R96"/>
    <mergeCell ref="S95:S96"/>
    <mergeCell ref="B96:F96"/>
    <mergeCell ref="L96:P96"/>
    <mergeCell ref="B97:F97"/>
    <mergeCell ref="G97:H97"/>
    <mergeCell ref="L97:P97"/>
    <mergeCell ref="Q97:R97"/>
    <mergeCell ref="B95:F95"/>
    <mergeCell ref="G95:H96"/>
    <mergeCell ref="I95:I96"/>
    <mergeCell ref="L95:P95"/>
    <mergeCell ref="S91:S93"/>
    <mergeCell ref="B92:F92"/>
    <mergeCell ref="L92:P92"/>
    <mergeCell ref="A99:A102"/>
    <mergeCell ref="B99:F99"/>
    <mergeCell ref="K99:K102"/>
    <mergeCell ref="L99:P99"/>
    <mergeCell ref="B100:F100"/>
    <mergeCell ref="L100:P100"/>
    <mergeCell ref="B101:F101"/>
    <mergeCell ref="L101:P101"/>
    <mergeCell ref="B102:F102"/>
    <mergeCell ref="L102:P102"/>
    <mergeCell ref="S105:S106"/>
    <mergeCell ref="B106:F106"/>
    <mergeCell ref="L106:P106"/>
    <mergeCell ref="B103:F103"/>
    <mergeCell ref="G103:H103"/>
    <mergeCell ref="L103:P103"/>
    <mergeCell ref="Q103:R103"/>
    <mergeCell ref="B104:F104"/>
    <mergeCell ref="G104:H104"/>
    <mergeCell ref="L104:P104"/>
    <mergeCell ref="Q104:R104"/>
    <mergeCell ref="B107:F107"/>
    <mergeCell ref="G107:H107"/>
    <mergeCell ref="L107:P107"/>
    <mergeCell ref="Q107:R107"/>
    <mergeCell ref="B108:F108"/>
    <mergeCell ref="G108:H108"/>
    <mergeCell ref="L108:P108"/>
    <mergeCell ref="Q108:R108"/>
    <mergeCell ref="B105:F105"/>
    <mergeCell ref="G105:H106"/>
    <mergeCell ref="I105:I106"/>
    <mergeCell ref="L105:P105"/>
    <mergeCell ref="Q105:R106"/>
    <mergeCell ref="B111:F111"/>
    <mergeCell ref="G111:I111"/>
    <mergeCell ref="L111:P111"/>
    <mergeCell ref="Q111:S111"/>
    <mergeCell ref="B109:F109"/>
    <mergeCell ref="G109:I109"/>
    <mergeCell ref="L109:P109"/>
    <mergeCell ref="Q109:S109"/>
    <mergeCell ref="B110:F110"/>
    <mergeCell ref="G110:I110"/>
    <mergeCell ref="L110:P110"/>
    <mergeCell ref="Q110:S110"/>
  </mergeCell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111"/>
  <sheetViews>
    <sheetView topLeftCell="A88" workbookViewId="0">
      <selection activeCell="G88" sqref="G88:H88"/>
    </sheetView>
  </sheetViews>
  <sheetFormatPr defaultRowHeight="15" x14ac:dyDescent="0.25"/>
  <cols>
    <col min="1" max="1" width="4.7109375" customWidth="1"/>
    <col min="9" max="9" width="46.7109375" customWidth="1"/>
    <col min="257" max="257" width="4.7109375" customWidth="1"/>
    <col min="265" max="265" width="46.7109375" customWidth="1"/>
    <col min="513" max="513" width="4.7109375" customWidth="1"/>
    <col min="521" max="521" width="46.7109375" customWidth="1"/>
    <col min="769" max="769" width="4.7109375" customWidth="1"/>
    <col min="777" max="777" width="46.7109375" customWidth="1"/>
    <col min="1025" max="1025" width="4.7109375" customWidth="1"/>
    <col min="1033" max="1033" width="46.7109375" customWidth="1"/>
    <col min="1281" max="1281" width="4.7109375" customWidth="1"/>
    <col min="1289" max="1289" width="46.7109375" customWidth="1"/>
    <col min="1537" max="1537" width="4.7109375" customWidth="1"/>
    <col min="1545" max="1545" width="46.7109375" customWidth="1"/>
    <col min="1793" max="1793" width="4.7109375" customWidth="1"/>
    <col min="1801" max="1801" width="46.7109375" customWidth="1"/>
    <col min="2049" max="2049" width="4.7109375" customWidth="1"/>
    <col min="2057" max="2057" width="46.7109375" customWidth="1"/>
    <col min="2305" max="2305" width="4.7109375" customWidth="1"/>
    <col min="2313" max="2313" width="46.7109375" customWidth="1"/>
    <col min="2561" max="2561" width="4.7109375" customWidth="1"/>
    <col min="2569" max="2569" width="46.7109375" customWidth="1"/>
    <col min="2817" max="2817" width="4.7109375" customWidth="1"/>
    <col min="2825" max="2825" width="46.7109375" customWidth="1"/>
    <col min="3073" max="3073" width="4.7109375" customWidth="1"/>
    <col min="3081" max="3081" width="46.7109375" customWidth="1"/>
    <col min="3329" max="3329" width="4.7109375" customWidth="1"/>
    <col min="3337" max="3337" width="46.7109375" customWidth="1"/>
    <col min="3585" max="3585" width="4.7109375" customWidth="1"/>
    <col min="3593" max="3593" width="46.7109375" customWidth="1"/>
    <col min="3841" max="3841" width="4.7109375" customWidth="1"/>
    <col min="3849" max="3849" width="46.7109375" customWidth="1"/>
    <col min="4097" max="4097" width="4.7109375" customWidth="1"/>
    <col min="4105" max="4105" width="46.7109375" customWidth="1"/>
    <col min="4353" max="4353" width="4.7109375" customWidth="1"/>
    <col min="4361" max="4361" width="46.7109375" customWidth="1"/>
    <col min="4609" max="4609" width="4.7109375" customWidth="1"/>
    <col min="4617" max="4617" width="46.7109375" customWidth="1"/>
    <col min="4865" max="4865" width="4.7109375" customWidth="1"/>
    <col min="4873" max="4873" width="46.7109375" customWidth="1"/>
    <col min="5121" max="5121" width="4.7109375" customWidth="1"/>
    <col min="5129" max="5129" width="46.7109375" customWidth="1"/>
    <col min="5377" max="5377" width="4.7109375" customWidth="1"/>
    <col min="5385" max="5385" width="46.7109375" customWidth="1"/>
    <col min="5633" max="5633" width="4.7109375" customWidth="1"/>
    <col min="5641" max="5641" width="46.7109375" customWidth="1"/>
    <col min="5889" max="5889" width="4.7109375" customWidth="1"/>
    <col min="5897" max="5897" width="46.7109375" customWidth="1"/>
    <col min="6145" max="6145" width="4.7109375" customWidth="1"/>
    <col min="6153" max="6153" width="46.7109375" customWidth="1"/>
    <col min="6401" max="6401" width="4.7109375" customWidth="1"/>
    <col min="6409" max="6409" width="46.7109375" customWidth="1"/>
    <col min="6657" max="6657" width="4.7109375" customWidth="1"/>
    <col min="6665" max="6665" width="46.7109375" customWidth="1"/>
    <col min="6913" max="6913" width="4.7109375" customWidth="1"/>
    <col min="6921" max="6921" width="46.7109375" customWidth="1"/>
    <col min="7169" max="7169" width="4.7109375" customWidth="1"/>
    <col min="7177" max="7177" width="46.7109375" customWidth="1"/>
    <col min="7425" max="7425" width="4.7109375" customWidth="1"/>
    <col min="7433" max="7433" width="46.7109375" customWidth="1"/>
    <col min="7681" max="7681" width="4.7109375" customWidth="1"/>
    <col min="7689" max="7689" width="46.7109375" customWidth="1"/>
    <col min="7937" max="7937" width="4.7109375" customWidth="1"/>
    <col min="7945" max="7945" width="46.7109375" customWidth="1"/>
    <col min="8193" max="8193" width="4.7109375" customWidth="1"/>
    <col min="8201" max="8201" width="46.7109375" customWidth="1"/>
    <col min="8449" max="8449" width="4.7109375" customWidth="1"/>
    <col min="8457" max="8457" width="46.7109375" customWidth="1"/>
    <col min="8705" max="8705" width="4.7109375" customWidth="1"/>
    <col min="8713" max="8713" width="46.7109375" customWidth="1"/>
    <col min="8961" max="8961" width="4.7109375" customWidth="1"/>
    <col min="8969" max="8969" width="46.7109375" customWidth="1"/>
    <col min="9217" max="9217" width="4.7109375" customWidth="1"/>
    <col min="9225" max="9225" width="46.7109375" customWidth="1"/>
    <col min="9473" max="9473" width="4.7109375" customWidth="1"/>
    <col min="9481" max="9481" width="46.7109375" customWidth="1"/>
    <col min="9729" max="9729" width="4.7109375" customWidth="1"/>
    <col min="9737" max="9737" width="46.7109375" customWidth="1"/>
    <col min="9985" max="9985" width="4.7109375" customWidth="1"/>
    <col min="9993" max="9993" width="46.7109375" customWidth="1"/>
    <col min="10241" max="10241" width="4.7109375" customWidth="1"/>
    <col min="10249" max="10249" width="46.7109375" customWidth="1"/>
    <col min="10497" max="10497" width="4.7109375" customWidth="1"/>
    <col min="10505" max="10505" width="46.7109375" customWidth="1"/>
    <col min="10753" max="10753" width="4.7109375" customWidth="1"/>
    <col min="10761" max="10761" width="46.7109375" customWidth="1"/>
    <col min="11009" max="11009" width="4.7109375" customWidth="1"/>
    <col min="11017" max="11017" width="46.7109375" customWidth="1"/>
    <col min="11265" max="11265" width="4.7109375" customWidth="1"/>
    <col min="11273" max="11273" width="46.7109375" customWidth="1"/>
    <col min="11521" max="11521" width="4.7109375" customWidth="1"/>
    <col min="11529" max="11529" width="46.7109375" customWidth="1"/>
    <col min="11777" max="11777" width="4.7109375" customWidth="1"/>
    <col min="11785" max="11785" width="46.7109375" customWidth="1"/>
    <col min="12033" max="12033" width="4.7109375" customWidth="1"/>
    <col min="12041" max="12041" width="46.7109375" customWidth="1"/>
    <col min="12289" max="12289" width="4.7109375" customWidth="1"/>
    <col min="12297" max="12297" width="46.7109375" customWidth="1"/>
    <col min="12545" max="12545" width="4.7109375" customWidth="1"/>
    <col min="12553" max="12553" width="46.7109375" customWidth="1"/>
    <col min="12801" max="12801" width="4.7109375" customWidth="1"/>
    <col min="12809" max="12809" width="46.7109375" customWidth="1"/>
    <col min="13057" max="13057" width="4.7109375" customWidth="1"/>
    <col min="13065" max="13065" width="46.7109375" customWidth="1"/>
    <col min="13313" max="13313" width="4.7109375" customWidth="1"/>
    <col min="13321" max="13321" width="46.7109375" customWidth="1"/>
    <col min="13569" max="13569" width="4.7109375" customWidth="1"/>
    <col min="13577" max="13577" width="46.7109375" customWidth="1"/>
    <col min="13825" max="13825" width="4.7109375" customWidth="1"/>
    <col min="13833" max="13833" width="46.7109375" customWidth="1"/>
    <col min="14081" max="14081" width="4.7109375" customWidth="1"/>
    <col min="14089" max="14089" width="46.7109375" customWidth="1"/>
    <col min="14337" max="14337" width="4.7109375" customWidth="1"/>
    <col min="14345" max="14345" width="46.7109375" customWidth="1"/>
    <col min="14593" max="14593" width="4.7109375" customWidth="1"/>
    <col min="14601" max="14601" width="46.7109375" customWidth="1"/>
    <col min="14849" max="14849" width="4.7109375" customWidth="1"/>
    <col min="14857" max="14857" width="46.7109375" customWidth="1"/>
    <col min="15105" max="15105" width="4.7109375" customWidth="1"/>
    <col min="15113" max="15113" width="46.7109375" customWidth="1"/>
    <col min="15361" max="15361" width="4.7109375" customWidth="1"/>
    <col min="15369" max="15369" width="46.7109375" customWidth="1"/>
    <col min="15617" max="15617" width="4.7109375" customWidth="1"/>
    <col min="15625" max="15625" width="46.7109375" customWidth="1"/>
    <col min="15873" max="15873" width="4.7109375" customWidth="1"/>
    <col min="15881" max="15881" width="46.7109375" customWidth="1"/>
    <col min="16129" max="16129" width="4.7109375" customWidth="1"/>
    <col min="16137" max="16137" width="46.7109375" customWidth="1"/>
  </cols>
  <sheetData>
    <row r="1" spans="1:9" ht="15.75" x14ac:dyDescent="0.25">
      <c r="C1" s="30"/>
      <c r="E1" s="4" t="s">
        <v>204</v>
      </c>
      <c r="I1" s="5"/>
    </row>
    <row r="2" spans="1:9" x14ac:dyDescent="0.25">
      <c r="A2" s="3" t="s">
        <v>205</v>
      </c>
      <c r="B2" s="3"/>
      <c r="C2" s="3"/>
      <c r="D2" s="3" t="s">
        <v>437</v>
      </c>
      <c r="E2" s="3"/>
      <c r="F2" s="3"/>
      <c r="G2" s="3"/>
      <c r="H2" s="3"/>
      <c r="I2" s="3"/>
    </row>
    <row r="3" spans="1:9" x14ac:dyDescent="0.25">
      <c r="A3" s="3"/>
      <c r="B3" s="5" t="s">
        <v>440</v>
      </c>
      <c r="C3" s="3"/>
      <c r="D3" s="3"/>
      <c r="E3" s="3"/>
      <c r="F3" s="3"/>
      <c r="G3" s="3"/>
      <c r="H3" s="3"/>
      <c r="I3" s="3"/>
    </row>
    <row r="4" spans="1:9" x14ac:dyDescent="0.25">
      <c r="A4" s="3"/>
      <c r="B4" s="5" t="s">
        <v>206</v>
      </c>
      <c r="C4" s="3"/>
      <c r="D4" s="3"/>
      <c r="E4" s="3"/>
      <c r="F4" s="3">
        <v>3753.3</v>
      </c>
      <c r="G4" s="3" t="s">
        <v>207</v>
      </c>
      <c r="H4" s="3"/>
      <c r="I4" s="3"/>
    </row>
    <row r="5" spans="1:9" ht="15.75" thickBot="1" x14ac:dyDescent="0.3">
      <c r="A5" s="3"/>
      <c r="B5" s="3"/>
      <c r="C5" s="3"/>
      <c r="D5" s="3"/>
      <c r="E5" s="3"/>
      <c r="F5" s="3"/>
      <c r="G5" s="3"/>
      <c r="H5" s="3"/>
      <c r="I5" s="3"/>
    </row>
    <row r="6" spans="1:9" x14ac:dyDescent="0.25">
      <c r="A6" s="175" t="s">
        <v>209</v>
      </c>
      <c r="B6" s="177" t="s">
        <v>210</v>
      </c>
      <c r="C6" s="178"/>
      <c r="D6" s="178"/>
      <c r="E6" s="178"/>
      <c r="F6" s="178"/>
      <c r="G6" s="180" t="s">
        <v>442</v>
      </c>
      <c r="H6" s="181"/>
      <c r="I6" s="175" t="s">
        <v>212</v>
      </c>
    </row>
    <row r="7" spans="1:9" ht="36" customHeight="1" thickBot="1" x14ac:dyDescent="0.3">
      <c r="A7" s="176"/>
      <c r="B7" s="179"/>
      <c r="C7" s="179"/>
      <c r="D7" s="179"/>
      <c r="E7" s="179"/>
      <c r="F7" s="179"/>
      <c r="G7" s="182"/>
      <c r="H7" s="183"/>
      <c r="I7" s="184"/>
    </row>
    <row r="8" spans="1:9" x14ac:dyDescent="0.25">
      <c r="A8" s="185" t="s">
        <v>213</v>
      </c>
      <c r="B8" s="187" t="s">
        <v>354</v>
      </c>
      <c r="C8" s="188"/>
      <c r="D8" s="188"/>
      <c r="E8" s="188"/>
      <c r="F8" s="188"/>
      <c r="G8" s="190">
        <v>157554.73000000001</v>
      </c>
      <c r="H8" s="191"/>
      <c r="I8" s="192"/>
    </row>
    <row r="9" spans="1:9" ht="15.75" thickBot="1" x14ac:dyDescent="0.3">
      <c r="A9" s="186"/>
      <c r="B9" s="189"/>
      <c r="C9" s="189"/>
      <c r="D9" s="189"/>
      <c r="E9" s="189"/>
      <c r="F9" s="189"/>
      <c r="G9" s="193"/>
      <c r="H9" s="194"/>
      <c r="I9" s="128"/>
    </row>
    <row r="10" spans="1:9" x14ac:dyDescent="0.25">
      <c r="A10" s="6"/>
      <c r="B10" s="161" t="s">
        <v>214</v>
      </c>
      <c r="C10" s="162"/>
      <c r="D10" s="162"/>
      <c r="E10" s="162"/>
      <c r="F10" s="162"/>
      <c r="G10" s="163">
        <f>2.79*F4*12</f>
        <v>125660.484</v>
      </c>
      <c r="H10" s="164"/>
      <c r="I10" s="169" t="s">
        <v>215</v>
      </c>
    </row>
    <row r="11" spans="1:9" ht="30" customHeight="1" thickBot="1" x14ac:dyDescent="0.3">
      <c r="A11" s="7"/>
      <c r="B11" s="171" t="s">
        <v>216</v>
      </c>
      <c r="C11" s="172"/>
      <c r="D11" s="172"/>
      <c r="E11" s="172"/>
      <c r="F11" s="172"/>
      <c r="G11" s="165"/>
      <c r="H11" s="166"/>
      <c r="I11" s="170"/>
    </row>
    <row r="12" spans="1:9" ht="15.75" thickBot="1" x14ac:dyDescent="0.3">
      <c r="A12" s="7"/>
      <c r="B12" s="173" t="s">
        <v>217</v>
      </c>
      <c r="C12" s="174"/>
      <c r="D12" s="174"/>
      <c r="E12" s="174"/>
      <c r="F12" s="174"/>
      <c r="G12" s="167"/>
      <c r="H12" s="168"/>
      <c r="I12" s="8" t="s">
        <v>218</v>
      </c>
    </row>
    <row r="13" spans="1:9" ht="15.75" thickBot="1" x14ac:dyDescent="0.3">
      <c r="A13" s="7"/>
      <c r="B13" s="141" t="s">
        <v>219</v>
      </c>
      <c r="C13" s="142"/>
      <c r="D13" s="142"/>
      <c r="E13" s="142"/>
      <c r="F13" s="142"/>
      <c r="G13" s="143">
        <f>2600*2*12</f>
        <v>62400</v>
      </c>
      <c r="H13" s="144"/>
      <c r="I13" s="8" t="s">
        <v>220</v>
      </c>
    </row>
    <row r="14" spans="1:9" ht="15.75" thickBot="1" x14ac:dyDescent="0.3">
      <c r="A14" s="7"/>
      <c r="B14" s="141" t="s">
        <v>221</v>
      </c>
      <c r="C14" s="142"/>
      <c r="D14" s="142"/>
      <c r="E14" s="142"/>
      <c r="F14" s="142"/>
      <c r="G14" s="143">
        <f>0.475*F4*12</f>
        <v>21393.81</v>
      </c>
      <c r="H14" s="144"/>
      <c r="I14" s="8" t="s">
        <v>222</v>
      </c>
    </row>
    <row r="15" spans="1:9" x14ac:dyDescent="0.25">
      <c r="A15" s="9"/>
      <c r="B15" s="145" t="s">
        <v>223</v>
      </c>
      <c r="C15" s="146"/>
      <c r="D15" s="146"/>
      <c r="E15" s="146"/>
      <c r="F15" s="146"/>
      <c r="G15" s="86">
        <f>3.9*F4*12</f>
        <v>175654.44</v>
      </c>
      <c r="H15" s="147"/>
      <c r="I15" s="152" t="s">
        <v>224</v>
      </c>
    </row>
    <row r="16" spans="1:9" x14ac:dyDescent="0.25">
      <c r="A16" s="10"/>
      <c r="B16" s="155" t="s">
        <v>226</v>
      </c>
      <c r="C16" s="156"/>
      <c r="D16" s="156"/>
      <c r="E16" s="156"/>
      <c r="F16" s="156"/>
      <c r="G16" s="148"/>
      <c r="H16" s="149"/>
      <c r="I16" s="153"/>
    </row>
    <row r="17" spans="1:9" ht="15.75" thickBot="1" x14ac:dyDescent="0.3">
      <c r="A17" s="10"/>
      <c r="B17" s="157" t="s">
        <v>227</v>
      </c>
      <c r="C17" s="158"/>
      <c r="D17" s="158"/>
      <c r="E17" s="158"/>
      <c r="F17" s="158"/>
      <c r="G17" s="148"/>
      <c r="H17" s="149"/>
      <c r="I17" s="154"/>
    </row>
    <row r="18" spans="1:9" ht="15.75" thickBot="1" x14ac:dyDescent="0.3">
      <c r="A18" s="10"/>
      <c r="B18" s="159" t="s">
        <v>228</v>
      </c>
      <c r="C18" s="160"/>
      <c r="D18" s="160"/>
      <c r="E18" s="160"/>
      <c r="F18" s="160"/>
      <c r="G18" s="150"/>
      <c r="H18" s="151"/>
      <c r="I18" s="11" t="s">
        <v>229</v>
      </c>
    </row>
    <row r="19" spans="1:9" x14ac:dyDescent="0.25">
      <c r="A19" s="12"/>
      <c r="B19" s="125" t="s">
        <v>230</v>
      </c>
      <c r="C19" s="126"/>
      <c r="D19" s="126"/>
      <c r="E19" s="126"/>
      <c r="F19" s="126"/>
      <c r="G19" s="86">
        <f>0.048*12*F4</f>
        <v>2161.9008000000003</v>
      </c>
      <c r="H19" s="87"/>
      <c r="I19" s="129" t="s">
        <v>220</v>
      </c>
    </row>
    <row r="20" spans="1:9" ht="15.75" thickBot="1" x14ac:dyDescent="0.3">
      <c r="A20" s="7"/>
      <c r="B20" s="131" t="s">
        <v>231</v>
      </c>
      <c r="C20" s="132"/>
      <c r="D20" s="132"/>
      <c r="E20" s="132"/>
      <c r="F20" s="132"/>
      <c r="G20" s="127"/>
      <c r="H20" s="128"/>
      <c r="I20" s="130"/>
    </row>
    <row r="21" spans="1:9" ht="15.75" thickBot="1" x14ac:dyDescent="0.3">
      <c r="A21" s="13"/>
      <c r="B21" s="133" t="s">
        <v>232</v>
      </c>
      <c r="C21" s="134"/>
      <c r="D21" s="134"/>
      <c r="E21" s="134"/>
      <c r="F21" s="134"/>
      <c r="G21" s="135"/>
      <c r="H21" s="136"/>
      <c r="I21" s="14"/>
    </row>
    <row r="22" spans="1:9" ht="27.95" customHeight="1" thickBot="1" x14ac:dyDescent="0.3">
      <c r="A22" s="13"/>
      <c r="B22" s="84" t="s">
        <v>233</v>
      </c>
      <c r="C22" s="85"/>
      <c r="D22" s="85"/>
      <c r="E22" s="85"/>
      <c r="F22" s="85"/>
      <c r="G22" s="86">
        <f>2.94*F4*12</f>
        <v>132416.424</v>
      </c>
      <c r="H22" s="87"/>
      <c r="I22" s="299" t="s">
        <v>679</v>
      </c>
    </row>
    <row r="23" spans="1:9" ht="27.95" customHeight="1" x14ac:dyDescent="0.25">
      <c r="A23" s="118"/>
      <c r="B23" s="121" t="s">
        <v>226</v>
      </c>
      <c r="C23" s="122"/>
      <c r="D23" s="122"/>
      <c r="E23" s="122"/>
      <c r="F23" s="122"/>
      <c r="G23" s="88"/>
      <c r="H23" s="89"/>
      <c r="I23" s="300"/>
    </row>
    <row r="24" spans="1:9" ht="25.5" customHeight="1" x14ac:dyDescent="0.25">
      <c r="A24" s="119"/>
      <c r="B24" s="121" t="s">
        <v>227</v>
      </c>
      <c r="C24" s="122"/>
      <c r="D24" s="122"/>
      <c r="E24" s="122"/>
      <c r="F24" s="122"/>
      <c r="G24" s="88"/>
      <c r="H24" s="89"/>
      <c r="I24" s="300"/>
    </row>
    <row r="25" spans="1:9" ht="27.95" customHeight="1" x14ac:dyDescent="0.25">
      <c r="A25" s="119"/>
      <c r="B25" s="121" t="s">
        <v>228</v>
      </c>
      <c r="C25" s="122"/>
      <c r="D25" s="122"/>
      <c r="E25" s="122"/>
      <c r="F25" s="122"/>
      <c r="G25" s="88"/>
      <c r="H25" s="89"/>
      <c r="I25" s="300"/>
    </row>
    <row r="26" spans="1:9" ht="37.5" customHeight="1" thickBot="1" x14ac:dyDescent="0.3">
      <c r="A26" s="120"/>
      <c r="B26" s="123" t="s">
        <v>234</v>
      </c>
      <c r="C26" s="124"/>
      <c r="D26" s="124"/>
      <c r="E26" s="124"/>
      <c r="F26" s="124"/>
      <c r="G26" s="90"/>
      <c r="H26" s="91"/>
      <c r="I26" s="301"/>
    </row>
    <row r="27" spans="1:9" ht="15.75" thickBot="1" x14ac:dyDescent="0.3">
      <c r="A27" s="15"/>
      <c r="B27" s="137" t="s">
        <v>248</v>
      </c>
      <c r="C27" s="138"/>
      <c r="D27" s="138"/>
      <c r="E27" s="138"/>
      <c r="F27" s="138"/>
      <c r="G27" s="139"/>
      <c r="H27" s="140"/>
      <c r="I27" s="16"/>
    </row>
    <row r="28" spans="1:9" ht="15.75" thickBot="1" x14ac:dyDescent="0.3">
      <c r="A28" s="15"/>
      <c r="B28" s="137" t="s">
        <v>235</v>
      </c>
      <c r="C28" s="138"/>
      <c r="D28" s="138"/>
      <c r="E28" s="138"/>
      <c r="F28" s="138"/>
      <c r="G28" s="139"/>
      <c r="H28" s="140"/>
      <c r="I28" s="16"/>
    </row>
    <row r="29" spans="1:9" ht="15.75" thickBot="1" x14ac:dyDescent="0.3">
      <c r="A29" s="17"/>
      <c r="B29" s="78" t="s">
        <v>237</v>
      </c>
      <c r="C29" s="79"/>
      <c r="D29" s="79"/>
      <c r="E29" s="79"/>
      <c r="F29" s="79"/>
      <c r="G29" s="80">
        <f>11796+31792</f>
        <v>43588</v>
      </c>
      <c r="H29" s="81"/>
      <c r="I29" s="108" t="s">
        <v>229</v>
      </c>
    </row>
    <row r="30" spans="1:9" ht="15.75" thickBot="1" x14ac:dyDescent="0.3">
      <c r="A30" s="18"/>
      <c r="B30" s="110" t="s">
        <v>238</v>
      </c>
      <c r="C30" s="111"/>
      <c r="D30" s="111"/>
      <c r="E30" s="111"/>
      <c r="F30" s="111"/>
      <c r="G30" s="82"/>
      <c r="H30" s="83"/>
      <c r="I30" s="109"/>
    </row>
    <row r="31" spans="1:9" ht="15.75" thickBot="1" x14ac:dyDescent="0.3">
      <c r="A31" s="19"/>
      <c r="B31" s="112" t="s">
        <v>239</v>
      </c>
      <c r="C31" s="113"/>
      <c r="D31" s="113"/>
      <c r="E31" s="113"/>
      <c r="F31" s="113"/>
      <c r="G31" s="114">
        <f>SUM(G10:H30)</f>
        <v>563275.0588</v>
      </c>
      <c r="H31" s="115"/>
      <c r="I31" s="20"/>
    </row>
    <row r="32" spans="1:9" ht="15.75" thickBot="1" x14ac:dyDescent="0.3">
      <c r="A32" s="21"/>
      <c r="B32" s="101" t="s">
        <v>240</v>
      </c>
      <c r="C32" s="102"/>
      <c r="D32" s="102"/>
      <c r="E32" s="102"/>
      <c r="F32" s="102"/>
      <c r="G32" s="116">
        <f>G31*1.2</f>
        <v>675930.07056000002</v>
      </c>
      <c r="H32" s="117"/>
      <c r="I32" s="22"/>
    </row>
    <row r="33" spans="1:9" ht="15.75" thickBot="1" x14ac:dyDescent="0.3">
      <c r="A33" s="24"/>
      <c r="B33" s="96" t="s">
        <v>443</v>
      </c>
      <c r="C33" s="97"/>
      <c r="D33" s="97"/>
      <c r="E33" s="97"/>
      <c r="F33" s="97"/>
      <c r="G33" s="98">
        <v>674318.52</v>
      </c>
      <c r="H33" s="99"/>
      <c r="I33" s="100"/>
    </row>
    <row r="34" spans="1:9" ht="15.75" thickBot="1" x14ac:dyDescent="0.3">
      <c r="A34" s="19"/>
      <c r="B34" s="101" t="s">
        <v>242</v>
      </c>
      <c r="C34" s="102"/>
      <c r="D34" s="102"/>
      <c r="E34" s="102"/>
      <c r="F34" s="102"/>
      <c r="G34" s="103">
        <v>594037.11</v>
      </c>
      <c r="H34" s="104"/>
      <c r="I34" s="105"/>
    </row>
    <row r="35" spans="1:9" ht="15.75" thickBot="1" x14ac:dyDescent="0.3">
      <c r="A35" s="19"/>
      <c r="B35" s="106" t="s">
        <v>444</v>
      </c>
      <c r="C35" s="107"/>
      <c r="D35" s="107"/>
      <c r="E35" s="107"/>
      <c r="F35" s="107"/>
      <c r="G35" s="103">
        <v>237899.14</v>
      </c>
      <c r="H35" s="104"/>
      <c r="I35" s="105"/>
    </row>
    <row r="36" spans="1:9" ht="81.75" customHeight="1" x14ac:dyDescent="0.25">
      <c r="B36" s="327"/>
      <c r="C36" s="327"/>
      <c r="D36" s="327"/>
      <c r="E36" s="327"/>
      <c r="F36" s="327"/>
      <c r="G36" s="327"/>
      <c r="H36" s="327"/>
      <c r="I36" s="327"/>
    </row>
    <row r="38" spans="1:9" ht="15.75" x14ac:dyDescent="0.25">
      <c r="C38" s="30"/>
      <c r="E38" s="4" t="s">
        <v>204</v>
      </c>
      <c r="I38" s="5"/>
    </row>
    <row r="39" spans="1:9" x14ac:dyDescent="0.25">
      <c r="A39" s="3" t="s">
        <v>205</v>
      </c>
      <c r="B39" s="3"/>
      <c r="C39" s="3"/>
      <c r="D39" s="3" t="s">
        <v>438</v>
      </c>
      <c r="E39" s="3"/>
      <c r="F39" s="3"/>
      <c r="G39" s="3"/>
      <c r="H39" s="3"/>
      <c r="I39" s="3"/>
    </row>
    <row r="40" spans="1:9" x14ac:dyDescent="0.25">
      <c r="A40" s="3"/>
      <c r="B40" s="5" t="s">
        <v>440</v>
      </c>
      <c r="C40" s="3"/>
      <c r="D40" s="3"/>
      <c r="E40" s="3"/>
      <c r="F40" s="3"/>
      <c r="G40" s="3"/>
      <c r="H40" s="3"/>
      <c r="I40" s="3"/>
    </row>
    <row r="41" spans="1:9" x14ac:dyDescent="0.25">
      <c r="A41" s="3"/>
      <c r="B41" s="5" t="s">
        <v>206</v>
      </c>
      <c r="C41" s="3"/>
      <c r="D41" s="3"/>
      <c r="E41" s="3"/>
      <c r="F41" s="3">
        <v>2419.4</v>
      </c>
      <c r="G41" s="3" t="s">
        <v>207</v>
      </c>
      <c r="H41" s="3"/>
      <c r="I41" s="3"/>
    </row>
    <row r="42" spans="1:9" ht="15.75" thickBot="1" x14ac:dyDescent="0.3">
      <c r="A42" s="3"/>
      <c r="B42" s="3"/>
      <c r="C42" s="3"/>
      <c r="D42" s="3"/>
      <c r="E42" s="3"/>
      <c r="F42" s="3"/>
      <c r="G42" s="3"/>
      <c r="H42" s="3"/>
      <c r="I42" s="3"/>
    </row>
    <row r="43" spans="1:9" x14ac:dyDescent="0.25">
      <c r="A43" s="175" t="s">
        <v>209</v>
      </c>
      <c r="B43" s="177" t="s">
        <v>210</v>
      </c>
      <c r="C43" s="178"/>
      <c r="D43" s="178"/>
      <c r="E43" s="178"/>
      <c r="F43" s="178"/>
      <c r="G43" s="180" t="s">
        <v>442</v>
      </c>
      <c r="H43" s="181"/>
      <c r="I43" s="175" t="s">
        <v>212</v>
      </c>
    </row>
    <row r="44" spans="1:9" ht="35.25" customHeight="1" thickBot="1" x14ac:dyDescent="0.3">
      <c r="A44" s="176"/>
      <c r="B44" s="179"/>
      <c r="C44" s="179"/>
      <c r="D44" s="179"/>
      <c r="E44" s="179"/>
      <c r="F44" s="179"/>
      <c r="G44" s="182"/>
      <c r="H44" s="183"/>
      <c r="I44" s="184"/>
    </row>
    <row r="45" spans="1:9" x14ac:dyDescent="0.25">
      <c r="A45" s="185" t="s">
        <v>213</v>
      </c>
      <c r="B45" s="187" t="s">
        <v>354</v>
      </c>
      <c r="C45" s="188"/>
      <c r="D45" s="188"/>
      <c r="E45" s="188"/>
      <c r="F45" s="188"/>
      <c r="G45" s="190">
        <v>111576.79</v>
      </c>
      <c r="H45" s="191"/>
      <c r="I45" s="192"/>
    </row>
    <row r="46" spans="1:9" ht="15.75" thickBot="1" x14ac:dyDescent="0.3">
      <c r="A46" s="186"/>
      <c r="B46" s="189"/>
      <c r="C46" s="189"/>
      <c r="D46" s="189"/>
      <c r="E46" s="189"/>
      <c r="F46" s="189"/>
      <c r="G46" s="193"/>
      <c r="H46" s="194"/>
      <c r="I46" s="128"/>
    </row>
    <row r="47" spans="1:9" x14ac:dyDescent="0.25">
      <c r="A47" s="6"/>
      <c r="B47" s="161" t="s">
        <v>214</v>
      </c>
      <c r="C47" s="162"/>
      <c r="D47" s="162"/>
      <c r="E47" s="162"/>
      <c r="F47" s="162"/>
      <c r="G47" s="163">
        <f>2.99*F41*12</f>
        <v>86808.072000000015</v>
      </c>
      <c r="H47" s="164"/>
      <c r="I47" s="169" t="s">
        <v>215</v>
      </c>
    </row>
    <row r="48" spans="1:9" ht="32.25" customHeight="1" thickBot="1" x14ac:dyDescent="0.3">
      <c r="A48" s="7"/>
      <c r="B48" s="171" t="s">
        <v>216</v>
      </c>
      <c r="C48" s="172"/>
      <c r="D48" s="172"/>
      <c r="E48" s="172"/>
      <c r="F48" s="172"/>
      <c r="G48" s="165"/>
      <c r="H48" s="166"/>
      <c r="I48" s="170"/>
    </row>
    <row r="49" spans="1:9" ht="15.75" thickBot="1" x14ac:dyDescent="0.3">
      <c r="A49" s="7"/>
      <c r="B49" s="173" t="s">
        <v>217</v>
      </c>
      <c r="C49" s="174"/>
      <c r="D49" s="174"/>
      <c r="E49" s="174"/>
      <c r="F49" s="174"/>
      <c r="G49" s="167"/>
      <c r="H49" s="168"/>
      <c r="I49" s="8" t="s">
        <v>218</v>
      </c>
    </row>
    <row r="50" spans="1:9" ht="15.75" thickBot="1" x14ac:dyDescent="0.3">
      <c r="A50" s="7"/>
      <c r="B50" s="141" t="s">
        <v>219</v>
      </c>
      <c r="C50" s="142"/>
      <c r="D50" s="142"/>
      <c r="E50" s="142"/>
      <c r="F50" s="142"/>
      <c r="G50" s="143">
        <v>0</v>
      </c>
      <c r="H50" s="144"/>
      <c r="I50" s="8" t="s">
        <v>220</v>
      </c>
    </row>
    <row r="51" spans="1:9" ht="15.75" thickBot="1" x14ac:dyDescent="0.3">
      <c r="A51" s="7"/>
      <c r="B51" s="141" t="s">
        <v>221</v>
      </c>
      <c r="C51" s="142"/>
      <c r="D51" s="142"/>
      <c r="E51" s="142"/>
      <c r="F51" s="142"/>
      <c r="G51" s="143">
        <f>0.475*F41*12</f>
        <v>13790.579999999998</v>
      </c>
      <c r="H51" s="144"/>
      <c r="I51" s="8" t="s">
        <v>222</v>
      </c>
    </row>
    <row r="52" spans="1:9" x14ac:dyDescent="0.25">
      <c r="A52" s="9"/>
      <c r="B52" s="145" t="s">
        <v>223</v>
      </c>
      <c r="C52" s="146"/>
      <c r="D52" s="146"/>
      <c r="E52" s="146"/>
      <c r="F52" s="146"/>
      <c r="G52" s="86">
        <f>3.07*F41*12</f>
        <v>89130.695999999996</v>
      </c>
      <c r="H52" s="147"/>
      <c r="I52" s="152" t="s">
        <v>224</v>
      </c>
    </row>
    <row r="53" spans="1:9" x14ac:dyDescent="0.25">
      <c r="A53" s="10"/>
      <c r="B53" s="155" t="s">
        <v>226</v>
      </c>
      <c r="C53" s="156"/>
      <c r="D53" s="156"/>
      <c r="E53" s="156"/>
      <c r="F53" s="156"/>
      <c r="G53" s="148"/>
      <c r="H53" s="149"/>
      <c r="I53" s="153"/>
    </row>
    <row r="54" spans="1:9" ht="15.75" thickBot="1" x14ac:dyDescent="0.3">
      <c r="A54" s="10"/>
      <c r="B54" s="157" t="s">
        <v>227</v>
      </c>
      <c r="C54" s="158"/>
      <c r="D54" s="158"/>
      <c r="E54" s="158"/>
      <c r="F54" s="158"/>
      <c r="G54" s="148"/>
      <c r="H54" s="149"/>
      <c r="I54" s="154"/>
    </row>
    <row r="55" spans="1:9" ht="15.75" thickBot="1" x14ac:dyDescent="0.3">
      <c r="A55" s="10"/>
      <c r="B55" s="159" t="s">
        <v>228</v>
      </c>
      <c r="C55" s="160"/>
      <c r="D55" s="160"/>
      <c r="E55" s="160"/>
      <c r="F55" s="160"/>
      <c r="G55" s="150"/>
      <c r="H55" s="151"/>
      <c r="I55" s="11" t="s">
        <v>229</v>
      </c>
    </row>
    <row r="56" spans="1:9" x14ac:dyDescent="0.25">
      <c r="A56" s="12"/>
      <c r="B56" s="125" t="s">
        <v>230</v>
      </c>
      <c r="C56" s="126"/>
      <c r="D56" s="126"/>
      <c r="E56" s="126"/>
      <c r="F56" s="126"/>
      <c r="G56" s="86">
        <f>0.019*12*F41</f>
        <v>551.6232</v>
      </c>
      <c r="H56" s="87"/>
      <c r="I56" s="129" t="s">
        <v>220</v>
      </c>
    </row>
    <row r="57" spans="1:9" ht="15.75" thickBot="1" x14ac:dyDescent="0.3">
      <c r="A57" s="7"/>
      <c r="B57" s="131" t="s">
        <v>231</v>
      </c>
      <c r="C57" s="132"/>
      <c r="D57" s="132"/>
      <c r="E57" s="132"/>
      <c r="F57" s="132"/>
      <c r="G57" s="127"/>
      <c r="H57" s="128"/>
      <c r="I57" s="130"/>
    </row>
    <row r="58" spans="1:9" ht="15.75" thickBot="1" x14ac:dyDescent="0.3">
      <c r="A58" s="13"/>
      <c r="B58" s="133" t="s">
        <v>232</v>
      </c>
      <c r="C58" s="134"/>
      <c r="D58" s="134"/>
      <c r="E58" s="134"/>
      <c r="F58" s="134"/>
      <c r="G58" s="135"/>
      <c r="H58" s="136"/>
      <c r="I58" s="14"/>
    </row>
    <row r="59" spans="1:9" ht="36" customHeight="1" thickBot="1" x14ac:dyDescent="0.3">
      <c r="A59" s="13"/>
      <c r="B59" s="84" t="s">
        <v>233</v>
      </c>
      <c r="C59" s="85"/>
      <c r="D59" s="85"/>
      <c r="E59" s="85"/>
      <c r="F59" s="85"/>
      <c r="G59" s="86">
        <f>(2.53+0.02+1.442)*F41*12</f>
        <v>115898.9376</v>
      </c>
      <c r="H59" s="87"/>
      <c r="I59" s="299" t="s">
        <v>678</v>
      </c>
    </row>
    <row r="60" spans="1:9" ht="27.75" customHeight="1" x14ac:dyDescent="0.25">
      <c r="A60" s="118"/>
      <c r="B60" s="121" t="s">
        <v>226</v>
      </c>
      <c r="C60" s="122"/>
      <c r="D60" s="122"/>
      <c r="E60" s="122"/>
      <c r="F60" s="122"/>
      <c r="G60" s="88"/>
      <c r="H60" s="89"/>
      <c r="I60" s="300"/>
    </row>
    <row r="61" spans="1:9" ht="27" customHeight="1" x14ac:dyDescent="0.25">
      <c r="A61" s="119"/>
      <c r="B61" s="121" t="s">
        <v>227</v>
      </c>
      <c r="C61" s="122"/>
      <c r="D61" s="122"/>
      <c r="E61" s="122"/>
      <c r="F61" s="122"/>
      <c r="G61" s="88"/>
      <c r="H61" s="89"/>
      <c r="I61" s="300"/>
    </row>
    <row r="62" spans="1:9" ht="24.75" customHeight="1" x14ac:dyDescent="0.25">
      <c r="A62" s="119"/>
      <c r="B62" s="121" t="s">
        <v>228</v>
      </c>
      <c r="C62" s="122"/>
      <c r="D62" s="122"/>
      <c r="E62" s="122"/>
      <c r="F62" s="122"/>
      <c r="G62" s="88"/>
      <c r="H62" s="89"/>
      <c r="I62" s="300"/>
    </row>
    <row r="63" spans="1:9" ht="30" customHeight="1" thickBot="1" x14ac:dyDescent="0.3">
      <c r="A63" s="120"/>
      <c r="B63" s="123" t="s">
        <v>234</v>
      </c>
      <c r="C63" s="124"/>
      <c r="D63" s="124"/>
      <c r="E63" s="124"/>
      <c r="F63" s="124"/>
      <c r="G63" s="90"/>
      <c r="H63" s="91"/>
      <c r="I63" s="301"/>
    </row>
    <row r="64" spans="1:9" ht="15.75" thickBot="1" x14ac:dyDescent="0.3">
      <c r="A64" s="15"/>
      <c r="B64" s="137" t="s">
        <v>248</v>
      </c>
      <c r="C64" s="138"/>
      <c r="D64" s="138"/>
      <c r="E64" s="138"/>
      <c r="F64" s="138"/>
      <c r="G64" s="139"/>
      <c r="H64" s="140"/>
      <c r="I64" s="16"/>
    </row>
    <row r="65" spans="1:9" ht="15.75" thickBot="1" x14ac:dyDescent="0.3">
      <c r="A65" s="15"/>
      <c r="B65" s="137" t="s">
        <v>235</v>
      </c>
      <c r="C65" s="138"/>
      <c r="D65" s="138"/>
      <c r="E65" s="138"/>
      <c r="F65" s="138"/>
      <c r="G65" s="139"/>
      <c r="H65" s="140"/>
      <c r="I65" s="16"/>
    </row>
    <row r="66" spans="1:9" ht="36" customHeight="1" thickBot="1" x14ac:dyDescent="0.3">
      <c r="A66" s="17"/>
      <c r="B66" s="78" t="s">
        <v>237</v>
      </c>
      <c r="C66" s="79"/>
      <c r="D66" s="79"/>
      <c r="E66" s="79"/>
      <c r="F66" s="79"/>
      <c r="G66" s="80">
        <v>39722.400000000001</v>
      </c>
      <c r="H66" s="81"/>
      <c r="I66" s="108" t="s">
        <v>229</v>
      </c>
    </row>
    <row r="67" spans="1:9" ht="15.75" thickBot="1" x14ac:dyDescent="0.3">
      <c r="A67" s="18"/>
      <c r="B67" s="110" t="s">
        <v>238</v>
      </c>
      <c r="C67" s="111"/>
      <c r="D67" s="111"/>
      <c r="E67" s="111"/>
      <c r="F67" s="111"/>
      <c r="G67" s="82"/>
      <c r="H67" s="83"/>
      <c r="I67" s="109"/>
    </row>
    <row r="68" spans="1:9" ht="15.75" thickBot="1" x14ac:dyDescent="0.3">
      <c r="A68" s="19"/>
      <c r="B68" s="112" t="s">
        <v>239</v>
      </c>
      <c r="C68" s="113"/>
      <c r="D68" s="113"/>
      <c r="E68" s="113"/>
      <c r="F68" s="113"/>
      <c r="G68" s="114">
        <f>SUM(G47:H67)</f>
        <v>345902.3088</v>
      </c>
      <c r="H68" s="115"/>
      <c r="I68" s="20"/>
    </row>
    <row r="69" spans="1:9" ht="15.75" thickBot="1" x14ac:dyDescent="0.3">
      <c r="A69" s="21"/>
      <c r="B69" s="101" t="s">
        <v>240</v>
      </c>
      <c r="C69" s="102"/>
      <c r="D69" s="102"/>
      <c r="E69" s="102"/>
      <c r="F69" s="102"/>
      <c r="G69" s="116">
        <f>G68*1.2</f>
        <v>415082.77055999998</v>
      </c>
      <c r="H69" s="117"/>
      <c r="I69" s="22"/>
    </row>
    <row r="70" spans="1:9" ht="15.75" thickBot="1" x14ac:dyDescent="0.3">
      <c r="A70" s="24"/>
      <c r="B70" s="96" t="s">
        <v>443</v>
      </c>
      <c r="C70" s="97"/>
      <c r="D70" s="97"/>
      <c r="E70" s="97"/>
      <c r="F70" s="97"/>
      <c r="G70" s="98">
        <v>469663.68</v>
      </c>
      <c r="H70" s="99"/>
      <c r="I70" s="100"/>
    </row>
    <row r="71" spans="1:9" ht="15.75" thickBot="1" x14ac:dyDescent="0.3">
      <c r="A71" s="19"/>
      <c r="B71" s="101" t="s">
        <v>242</v>
      </c>
      <c r="C71" s="102"/>
      <c r="D71" s="102"/>
      <c r="E71" s="102"/>
      <c r="F71" s="102"/>
      <c r="G71" s="103">
        <v>438365.93</v>
      </c>
      <c r="H71" s="104"/>
      <c r="I71" s="105"/>
    </row>
    <row r="72" spans="1:9" ht="15.75" thickBot="1" x14ac:dyDescent="0.3">
      <c r="A72" s="19"/>
      <c r="B72" s="106" t="s">
        <v>444</v>
      </c>
      <c r="C72" s="107"/>
      <c r="D72" s="107"/>
      <c r="E72" s="107"/>
      <c r="F72" s="107"/>
      <c r="G72" s="103">
        <v>142874.54</v>
      </c>
      <c r="H72" s="104"/>
      <c r="I72" s="105"/>
    </row>
    <row r="76" spans="1:9" ht="15.75" x14ac:dyDescent="0.25">
      <c r="C76" s="30"/>
      <c r="E76" s="4" t="s">
        <v>204</v>
      </c>
      <c r="I76" s="5"/>
    </row>
    <row r="77" spans="1:9" x14ac:dyDescent="0.25">
      <c r="A77" s="3" t="s">
        <v>205</v>
      </c>
      <c r="B77" s="3"/>
      <c r="C77" s="3"/>
      <c r="D77" s="3" t="s">
        <v>439</v>
      </c>
      <c r="E77" s="3"/>
      <c r="F77" s="3"/>
      <c r="G77" s="3"/>
      <c r="H77" s="3"/>
      <c r="I77" s="3"/>
    </row>
    <row r="78" spans="1:9" x14ac:dyDescent="0.25">
      <c r="A78" s="3"/>
      <c r="B78" s="5" t="s">
        <v>440</v>
      </c>
      <c r="C78" s="3"/>
      <c r="D78" s="3"/>
      <c r="E78" s="3"/>
      <c r="F78" s="3"/>
      <c r="G78" s="3"/>
      <c r="H78" s="3"/>
      <c r="I78" s="3"/>
    </row>
    <row r="79" spans="1:9" x14ac:dyDescent="0.25">
      <c r="A79" s="3"/>
      <c r="B79" s="5" t="s">
        <v>206</v>
      </c>
      <c r="C79" s="3"/>
      <c r="D79" s="3"/>
      <c r="E79" s="3"/>
      <c r="F79" s="3">
        <v>2325.6</v>
      </c>
      <c r="G79" s="3" t="s">
        <v>207</v>
      </c>
      <c r="H79" s="3"/>
      <c r="I79" s="3"/>
    </row>
    <row r="80" spans="1:9" ht="15.75" thickBot="1" x14ac:dyDescent="0.3">
      <c r="A80" s="3"/>
      <c r="B80" s="3"/>
      <c r="C80" s="3"/>
      <c r="D80" s="3"/>
      <c r="E80" s="3"/>
      <c r="F80" s="3"/>
      <c r="G80" s="3"/>
      <c r="H80" s="3"/>
      <c r="I80" s="3"/>
    </row>
    <row r="81" spans="1:9" x14ac:dyDescent="0.25">
      <c r="A81" s="175" t="s">
        <v>209</v>
      </c>
      <c r="B81" s="177" t="s">
        <v>210</v>
      </c>
      <c r="C81" s="178"/>
      <c r="D81" s="178"/>
      <c r="E81" s="178"/>
      <c r="F81" s="178"/>
      <c r="G81" s="180" t="s">
        <v>442</v>
      </c>
      <c r="H81" s="181"/>
      <c r="I81" s="175" t="s">
        <v>212</v>
      </c>
    </row>
    <row r="82" spans="1:9" ht="39" customHeight="1" thickBot="1" x14ac:dyDescent="0.3">
      <c r="A82" s="176"/>
      <c r="B82" s="179"/>
      <c r="C82" s="179"/>
      <c r="D82" s="179"/>
      <c r="E82" s="179"/>
      <c r="F82" s="179"/>
      <c r="G82" s="182"/>
      <c r="H82" s="183"/>
      <c r="I82" s="184"/>
    </row>
    <row r="83" spans="1:9" x14ac:dyDescent="0.25">
      <c r="A83" s="185" t="s">
        <v>213</v>
      </c>
      <c r="B83" s="187" t="s">
        <v>354</v>
      </c>
      <c r="C83" s="188"/>
      <c r="D83" s="188"/>
      <c r="E83" s="188"/>
      <c r="F83" s="188"/>
      <c r="G83" s="190">
        <v>106757.21</v>
      </c>
      <c r="H83" s="191"/>
      <c r="I83" s="192"/>
    </row>
    <row r="84" spans="1:9" ht="15.75" thickBot="1" x14ac:dyDescent="0.3">
      <c r="A84" s="186"/>
      <c r="B84" s="189"/>
      <c r="C84" s="189"/>
      <c r="D84" s="189"/>
      <c r="E84" s="189"/>
      <c r="F84" s="189"/>
      <c r="G84" s="193"/>
      <c r="H84" s="194"/>
      <c r="I84" s="128"/>
    </row>
    <row r="85" spans="1:9" x14ac:dyDescent="0.25">
      <c r="A85" s="6"/>
      <c r="B85" s="161" t="s">
        <v>214</v>
      </c>
      <c r="C85" s="162"/>
      <c r="D85" s="162"/>
      <c r="E85" s="162"/>
      <c r="F85" s="162"/>
      <c r="G85" s="163">
        <f>2.29*F79*12</f>
        <v>63907.487999999998</v>
      </c>
      <c r="H85" s="164"/>
      <c r="I85" s="169" t="s">
        <v>215</v>
      </c>
    </row>
    <row r="86" spans="1:9" ht="15.75" thickBot="1" x14ac:dyDescent="0.3">
      <c r="A86" s="7"/>
      <c r="B86" s="171" t="s">
        <v>216</v>
      </c>
      <c r="C86" s="172"/>
      <c r="D86" s="172"/>
      <c r="E86" s="172"/>
      <c r="F86" s="172"/>
      <c r="G86" s="165"/>
      <c r="H86" s="166"/>
      <c r="I86" s="170"/>
    </row>
    <row r="87" spans="1:9" ht="15.75" thickBot="1" x14ac:dyDescent="0.3">
      <c r="A87" s="7"/>
      <c r="B87" s="173" t="s">
        <v>217</v>
      </c>
      <c r="C87" s="174"/>
      <c r="D87" s="174"/>
      <c r="E87" s="174"/>
      <c r="F87" s="174"/>
      <c r="G87" s="167"/>
      <c r="H87" s="168"/>
      <c r="I87" s="8" t="s">
        <v>218</v>
      </c>
    </row>
    <row r="88" spans="1:9" ht="15.75" thickBot="1" x14ac:dyDescent="0.3">
      <c r="A88" s="7"/>
      <c r="B88" s="141" t="s">
        <v>219</v>
      </c>
      <c r="C88" s="142"/>
      <c r="D88" s="142"/>
      <c r="E88" s="142"/>
      <c r="F88" s="142"/>
      <c r="G88" s="143">
        <v>0</v>
      </c>
      <c r="H88" s="144"/>
      <c r="I88" s="8" t="s">
        <v>220</v>
      </c>
    </row>
    <row r="89" spans="1:9" ht="15.75" thickBot="1" x14ac:dyDescent="0.3">
      <c r="A89" s="7"/>
      <c r="B89" s="141" t="s">
        <v>221</v>
      </c>
      <c r="C89" s="142"/>
      <c r="D89" s="142"/>
      <c r="E89" s="142"/>
      <c r="F89" s="142"/>
      <c r="G89" s="143">
        <f>0.33*F79*12</f>
        <v>9209.3760000000002</v>
      </c>
      <c r="H89" s="144"/>
      <c r="I89" s="8" t="s">
        <v>222</v>
      </c>
    </row>
    <row r="90" spans="1:9" x14ac:dyDescent="0.25">
      <c r="A90" s="9"/>
      <c r="B90" s="145" t="s">
        <v>223</v>
      </c>
      <c r="C90" s="146"/>
      <c r="D90" s="146"/>
      <c r="E90" s="146"/>
      <c r="F90" s="146"/>
      <c r="G90" s="86">
        <f>3.45*F79*12</f>
        <v>96279.84</v>
      </c>
      <c r="H90" s="147"/>
      <c r="I90" s="152" t="s">
        <v>224</v>
      </c>
    </row>
    <row r="91" spans="1:9" x14ac:dyDescent="0.25">
      <c r="A91" s="10"/>
      <c r="B91" s="155" t="s">
        <v>226</v>
      </c>
      <c r="C91" s="156"/>
      <c r="D91" s="156"/>
      <c r="E91" s="156"/>
      <c r="F91" s="156"/>
      <c r="G91" s="148"/>
      <c r="H91" s="149"/>
      <c r="I91" s="153"/>
    </row>
    <row r="92" spans="1:9" ht="15.75" thickBot="1" x14ac:dyDescent="0.3">
      <c r="A92" s="10"/>
      <c r="B92" s="157" t="s">
        <v>227</v>
      </c>
      <c r="C92" s="158"/>
      <c r="D92" s="158"/>
      <c r="E92" s="158"/>
      <c r="F92" s="158"/>
      <c r="G92" s="148"/>
      <c r="H92" s="149"/>
      <c r="I92" s="154"/>
    </row>
    <row r="93" spans="1:9" ht="15.75" thickBot="1" x14ac:dyDescent="0.3">
      <c r="A93" s="10"/>
      <c r="B93" s="159" t="s">
        <v>228</v>
      </c>
      <c r="C93" s="160"/>
      <c r="D93" s="160"/>
      <c r="E93" s="160"/>
      <c r="F93" s="160"/>
      <c r="G93" s="150"/>
      <c r="H93" s="151"/>
      <c r="I93" s="11" t="s">
        <v>229</v>
      </c>
    </row>
    <row r="94" spans="1:9" x14ac:dyDescent="0.25">
      <c r="A94" s="12"/>
      <c r="B94" s="125" t="s">
        <v>230</v>
      </c>
      <c r="C94" s="126"/>
      <c r="D94" s="126"/>
      <c r="E94" s="126"/>
      <c r="F94" s="126"/>
      <c r="G94" s="86">
        <f>0.02*12*F79</f>
        <v>558.14400000000001</v>
      </c>
      <c r="H94" s="87"/>
      <c r="I94" s="129" t="s">
        <v>220</v>
      </c>
    </row>
    <row r="95" spans="1:9" ht="15.75" thickBot="1" x14ac:dyDescent="0.3">
      <c r="A95" s="7"/>
      <c r="B95" s="131" t="s">
        <v>231</v>
      </c>
      <c r="C95" s="132"/>
      <c r="D95" s="132"/>
      <c r="E95" s="132"/>
      <c r="F95" s="132"/>
      <c r="G95" s="127"/>
      <c r="H95" s="128"/>
      <c r="I95" s="130"/>
    </row>
    <row r="96" spans="1:9" ht="15.75" thickBot="1" x14ac:dyDescent="0.3">
      <c r="A96" s="13"/>
      <c r="B96" s="133" t="s">
        <v>232</v>
      </c>
      <c r="C96" s="134"/>
      <c r="D96" s="134"/>
      <c r="E96" s="134"/>
      <c r="F96" s="134"/>
      <c r="G96" s="135"/>
      <c r="H96" s="136"/>
      <c r="I96" s="14"/>
    </row>
    <row r="97" spans="1:9" ht="36.75" customHeight="1" thickBot="1" x14ac:dyDescent="0.3">
      <c r="A97" s="13"/>
      <c r="B97" s="84" t="s">
        <v>233</v>
      </c>
      <c r="C97" s="85"/>
      <c r="D97" s="85"/>
      <c r="E97" s="85"/>
      <c r="F97" s="85"/>
      <c r="G97" s="86">
        <f>3.9*F79*12</f>
        <v>108838.08</v>
      </c>
      <c r="H97" s="87"/>
      <c r="I97" s="299" t="s">
        <v>677</v>
      </c>
    </row>
    <row r="98" spans="1:9" ht="27" customHeight="1" x14ac:dyDescent="0.25">
      <c r="A98" s="118"/>
      <c r="B98" s="121" t="s">
        <v>226</v>
      </c>
      <c r="C98" s="122"/>
      <c r="D98" s="122"/>
      <c r="E98" s="122"/>
      <c r="F98" s="122"/>
      <c r="G98" s="88"/>
      <c r="H98" s="89"/>
      <c r="I98" s="300"/>
    </row>
    <row r="99" spans="1:9" ht="27.6" customHeight="1" x14ac:dyDescent="0.25">
      <c r="A99" s="119"/>
      <c r="B99" s="121" t="s">
        <v>227</v>
      </c>
      <c r="C99" s="122"/>
      <c r="D99" s="122"/>
      <c r="E99" s="122"/>
      <c r="F99" s="122"/>
      <c r="G99" s="88"/>
      <c r="H99" s="89"/>
      <c r="I99" s="300"/>
    </row>
    <row r="100" spans="1:9" ht="27" customHeight="1" x14ac:dyDescent="0.25">
      <c r="A100" s="119"/>
      <c r="B100" s="121" t="s">
        <v>228</v>
      </c>
      <c r="C100" s="122"/>
      <c r="D100" s="122"/>
      <c r="E100" s="122"/>
      <c r="F100" s="122"/>
      <c r="G100" s="88"/>
      <c r="H100" s="89"/>
      <c r="I100" s="300"/>
    </row>
    <row r="101" spans="1:9" ht="54.75" customHeight="1" thickBot="1" x14ac:dyDescent="0.3">
      <c r="A101" s="120"/>
      <c r="B101" s="123" t="s">
        <v>234</v>
      </c>
      <c r="C101" s="124"/>
      <c r="D101" s="124"/>
      <c r="E101" s="124"/>
      <c r="F101" s="124"/>
      <c r="G101" s="90"/>
      <c r="H101" s="91"/>
      <c r="I101" s="301"/>
    </row>
    <row r="102" spans="1:9" ht="15.75" thickBot="1" x14ac:dyDescent="0.3">
      <c r="A102" s="15"/>
      <c r="B102" s="137" t="s">
        <v>248</v>
      </c>
      <c r="C102" s="138"/>
      <c r="D102" s="138"/>
      <c r="E102" s="138"/>
      <c r="F102" s="138"/>
      <c r="G102" s="139"/>
      <c r="H102" s="140"/>
      <c r="I102" s="16"/>
    </row>
    <row r="103" spans="1:9" ht="15.75" thickBot="1" x14ac:dyDescent="0.3">
      <c r="A103" s="15"/>
      <c r="B103" s="137" t="s">
        <v>235</v>
      </c>
      <c r="C103" s="138"/>
      <c r="D103" s="138"/>
      <c r="E103" s="138"/>
      <c r="F103" s="138"/>
      <c r="G103" s="139"/>
      <c r="H103" s="140"/>
      <c r="I103" s="16"/>
    </row>
    <row r="104" spans="1:9" ht="15.75" thickBot="1" x14ac:dyDescent="0.3">
      <c r="A104" s="17"/>
      <c r="B104" s="78" t="s">
        <v>237</v>
      </c>
      <c r="C104" s="79"/>
      <c r="D104" s="79"/>
      <c r="E104" s="79"/>
      <c r="F104" s="79"/>
      <c r="G104" s="80">
        <v>25225</v>
      </c>
      <c r="H104" s="81"/>
      <c r="I104" s="108" t="s">
        <v>229</v>
      </c>
    </row>
    <row r="105" spans="1:9" ht="15.75" thickBot="1" x14ac:dyDescent="0.3">
      <c r="A105" s="18"/>
      <c r="B105" s="110" t="s">
        <v>238</v>
      </c>
      <c r="C105" s="111"/>
      <c r="D105" s="111"/>
      <c r="E105" s="111"/>
      <c r="F105" s="111"/>
      <c r="G105" s="82"/>
      <c r="H105" s="83"/>
      <c r="I105" s="109"/>
    </row>
    <row r="106" spans="1:9" ht="15.75" thickBot="1" x14ac:dyDescent="0.3">
      <c r="A106" s="19"/>
      <c r="B106" s="112" t="s">
        <v>239</v>
      </c>
      <c r="C106" s="113"/>
      <c r="D106" s="113"/>
      <c r="E106" s="113"/>
      <c r="F106" s="113"/>
      <c r="G106" s="114">
        <f>SUM(G85:H105)</f>
        <v>304017.92800000001</v>
      </c>
      <c r="H106" s="115"/>
      <c r="I106" s="20"/>
    </row>
    <row r="107" spans="1:9" ht="15.75" thickBot="1" x14ac:dyDescent="0.3">
      <c r="A107" s="21"/>
      <c r="B107" s="101" t="s">
        <v>240</v>
      </c>
      <c r="C107" s="102"/>
      <c r="D107" s="102"/>
      <c r="E107" s="102"/>
      <c r="F107" s="102"/>
      <c r="G107" s="116">
        <f>G106*1.2</f>
        <v>364821.51360000001</v>
      </c>
      <c r="H107" s="117"/>
      <c r="I107" s="22"/>
    </row>
    <row r="108" spans="1:9" ht="15.75" thickBot="1" x14ac:dyDescent="0.3">
      <c r="A108" s="24"/>
      <c r="B108" s="96" t="s">
        <v>443</v>
      </c>
      <c r="C108" s="97"/>
      <c r="D108" s="97"/>
      <c r="E108" s="97"/>
      <c r="F108" s="97"/>
      <c r="G108" s="98">
        <v>411598.51</v>
      </c>
      <c r="H108" s="99"/>
      <c r="I108" s="100"/>
    </row>
    <row r="109" spans="1:9" ht="15.75" thickBot="1" x14ac:dyDescent="0.3">
      <c r="A109" s="19"/>
      <c r="B109" s="101" t="s">
        <v>242</v>
      </c>
      <c r="C109" s="102"/>
      <c r="D109" s="102"/>
      <c r="E109" s="102"/>
      <c r="F109" s="102"/>
      <c r="G109" s="103">
        <v>368771.13</v>
      </c>
      <c r="H109" s="104"/>
      <c r="I109" s="105"/>
    </row>
    <row r="110" spans="1:9" ht="15.75" thickBot="1" x14ac:dyDescent="0.3">
      <c r="A110" s="19"/>
      <c r="B110" s="106" t="s">
        <v>444</v>
      </c>
      <c r="C110" s="107"/>
      <c r="D110" s="107"/>
      <c r="E110" s="107"/>
      <c r="F110" s="107"/>
      <c r="G110" s="103">
        <v>149584.59</v>
      </c>
      <c r="H110" s="104"/>
      <c r="I110" s="105"/>
    </row>
    <row r="111" spans="1:9" ht="33" customHeight="1" x14ac:dyDescent="0.25">
      <c r="B111" s="328"/>
      <c r="C111" s="328"/>
      <c r="D111" s="328"/>
      <c r="E111" s="328"/>
      <c r="F111" s="328"/>
      <c r="G111" s="328"/>
      <c r="H111" s="328"/>
      <c r="I111" s="328"/>
    </row>
  </sheetData>
  <mergeCells count="164">
    <mergeCell ref="A6:A7"/>
    <mergeCell ref="B6:F7"/>
    <mergeCell ref="G6:H7"/>
    <mergeCell ref="I6:I7"/>
    <mergeCell ref="A8:A9"/>
    <mergeCell ref="B8:F9"/>
    <mergeCell ref="G8:I9"/>
    <mergeCell ref="B14:F14"/>
    <mergeCell ref="G14:H14"/>
    <mergeCell ref="B15:F15"/>
    <mergeCell ref="G15:H18"/>
    <mergeCell ref="I15:I17"/>
    <mergeCell ref="B16:F16"/>
    <mergeCell ref="B17:F17"/>
    <mergeCell ref="B18:F18"/>
    <mergeCell ref="B10:F10"/>
    <mergeCell ref="G10:H12"/>
    <mergeCell ref="I10:I11"/>
    <mergeCell ref="B11:F11"/>
    <mergeCell ref="B12:F12"/>
    <mergeCell ref="B13:F13"/>
    <mergeCell ref="G13:H13"/>
    <mergeCell ref="B22:F22"/>
    <mergeCell ref="G22:H26"/>
    <mergeCell ref="I22:I26"/>
    <mergeCell ref="A23:A26"/>
    <mergeCell ref="B23:F23"/>
    <mergeCell ref="B24:F24"/>
    <mergeCell ref="B25:F25"/>
    <mergeCell ref="B26:F26"/>
    <mergeCell ref="B19:F19"/>
    <mergeCell ref="G19:H20"/>
    <mergeCell ref="I19:I20"/>
    <mergeCell ref="B20:F20"/>
    <mergeCell ref="B21:F21"/>
    <mergeCell ref="G21:H21"/>
    <mergeCell ref="I29:I30"/>
    <mergeCell ref="B30:F30"/>
    <mergeCell ref="B31:F31"/>
    <mergeCell ref="G31:H31"/>
    <mergeCell ref="B32:F32"/>
    <mergeCell ref="G32:H32"/>
    <mergeCell ref="B27:F27"/>
    <mergeCell ref="G27:H27"/>
    <mergeCell ref="B28:F28"/>
    <mergeCell ref="G28:H28"/>
    <mergeCell ref="B29:F29"/>
    <mergeCell ref="G29:H30"/>
    <mergeCell ref="B36:I36"/>
    <mergeCell ref="A43:A44"/>
    <mergeCell ref="B43:F44"/>
    <mergeCell ref="G43:H44"/>
    <mergeCell ref="I43:I44"/>
    <mergeCell ref="A45:A46"/>
    <mergeCell ref="B45:F46"/>
    <mergeCell ref="G45:I46"/>
    <mergeCell ref="B33:F33"/>
    <mergeCell ref="G33:I33"/>
    <mergeCell ref="B34:F34"/>
    <mergeCell ref="G34:I34"/>
    <mergeCell ref="B35:F35"/>
    <mergeCell ref="G35:I35"/>
    <mergeCell ref="B51:F51"/>
    <mergeCell ref="G51:H51"/>
    <mergeCell ref="B52:F52"/>
    <mergeCell ref="G52:H55"/>
    <mergeCell ref="I52:I54"/>
    <mergeCell ref="B53:F53"/>
    <mergeCell ref="B54:F54"/>
    <mergeCell ref="B55:F55"/>
    <mergeCell ref="B47:F47"/>
    <mergeCell ref="G47:H49"/>
    <mergeCell ref="I47:I48"/>
    <mergeCell ref="B48:F48"/>
    <mergeCell ref="B49:F49"/>
    <mergeCell ref="B50:F50"/>
    <mergeCell ref="G50:H50"/>
    <mergeCell ref="B59:F59"/>
    <mergeCell ref="G59:H63"/>
    <mergeCell ref="I59:I63"/>
    <mergeCell ref="A60:A63"/>
    <mergeCell ref="B60:F60"/>
    <mergeCell ref="B61:F61"/>
    <mergeCell ref="B62:F62"/>
    <mergeCell ref="B63:F63"/>
    <mergeCell ref="B56:F56"/>
    <mergeCell ref="G56:H57"/>
    <mergeCell ref="I56:I57"/>
    <mergeCell ref="B57:F57"/>
    <mergeCell ref="B58:F58"/>
    <mergeCell ref="G58:H58"/>
    <mergeCell ref="I66:I67"/>
    <mergeCell ref="B67:F67"/>
    <mergeCell ref="B68:F68"/>
    <mergeCell ref="G68:H68"/>
    <mergeCell ref="B69:F69"/>
    <mergeCell ref="G69:H69"/>
    <mergeCell ref="B64:F64"/>
    <mergeCell ref="G64:H64"/>
    <mergeCell ref="B65:F65"/>
    <mergeCell ref="G65:H65"/>
    <mergeCell ref="B66:F66"/>
    <mergeCell ref="G66:H67"/>
    <mergeCell ref="A81:A82"/>
    <mergeCell ref="B81:F82"/>
    <mergeCell ref="G81:H82"/>
    <mergeCell ref="I81:I82"/>
    <mergeCell ref="A83:A84"/>
    <mergeCell ref="B83:F84"/>
    <mergeCell ref="G83:I84"/>
    <mergeCell ref="B70:F70"/>
    <mergeCell ref="G70:I70"/>
    <mergeCell ref="B71:F71"/>
    <mergeCell ref="G71:I71"/>
    <mergeCell ref="B72:F72"/>
    <mergeCell ref="G72:I72"/>
    <mergeCell ref="B89:F89"/>
    <mergeCell ref="G89:H89"/>
    <mergeCell ref="B90:F90"/>
    <mergeCell ref="G90:H93"/>
    <mergeCell ref="I90:I92"/>
    <mergeCell ref="B91:F91"/>
    <mergeCell ref="B92:F92"/>
    <mergeCell ref="B93:F93"/>
    <mergeCell ref="B85:F85"/>
    <mergeCell ref="G85:H87"/>
    <mergeCell ref="I85:I86"/>
    <mergeCell ref="B86:F86"/>
    <mergeCell ref="B87:F87"/>
    <mergeCell ref="B88:F88"/>
    <mergeCell ref="G88:H88"/>
    <mergeCell ref="A98:A101"/>
    <mergeCell ref="B98:F98"/>
    <mergeCell ref="B99:F99"/>
    <mergeCell ref="B100:F100"/>
    <mergeCell ref="B101:F101"/>
    <mergeCell ref="B94:F94"/>
    <mergeCell ref="G94:H95"/>
    <mergeCell ref="I94:I95"/>
    <mergeCell ref="B95:F95"/>
    <mergeCell ref="B96:F96"/>
    <mergeCell ref="G96:H96"/>
    <mergeCell ref="B102:F102"/>
    <mergeCell ref="G102:H102"/>
    <mergeCell ref="B103:F103"/>
    <mergeCell ref="G103:H103"/>
    <mergeCell ref="B104:F104"/>
    <mergeCell ref="G104:H105"/>
    <mergeCell ref="B97:F97"/>
    <mergeCell ref="G97:H101"/>
    <mergeCell ref="I97:I101"/>
    <mergeCell ref="B111:I111"/>
    <mergeCell ref="B108:F108"/>
    <mergeCell ref="G108:I108"/>
    <mergeCell ref="B109:F109"/>
    <mergeCell ref="G109:I109"/>
    <mergeCell ref="B110:F110"/>
    <mergeCell ref="G110:I110"/>
    <mergeCell ref="I104:I105"/>
    <mergeCell ref="B105:F105"/>
    <mergeCell ref="B106:F106"/>
    <mergeCell ref="G106:H106"/>
    <mergeCell ref="B107:F107"/>
    <mergeCell ref="G107:H10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R266"/>
  <sheetViews>
    <sheetView topLeftCell="C235" zoomScale="85" zoomScaleNormal="85" workbookViewId="0">
      <selection activeCell="G255" sqref="G255:H255"/>
    </sheetView>
  </sheetViews>
  <sheetFormatPr defaultRowHeight="15" x14ac:dyDescent="0.25"/>
  <cols>
    <col min="1" max="1" width="4.42578125" customWidth="1"/>
    <col min="7" max="7" width="9.5703125" bestFit="1" customWidth="1"/>
    <col min="9" max="9" width="44.7109375" customWidth="1"/>
    <col min="18" max="18" width="35.42578125" customWidth="1"/>
    <col min="257" max="257" width="4.42578125" customWidth="1"/>
    <col min="263" max="263" width="9.5703125" bestFit="1" customWidth="1"/>
    <col min="265" max="265" width="44.7109375" customWidth="1"/>
    <col min="274" max="274" width="35.42578125" customWidth="1"/>
    <col min="513" max="513" width="4.42578125" customWidth="1"/>
    <col min="519" max="519" width="9.5703125" bestFit="1" customWidth="1"/>
    <col min="521" max="521" width="44.7109375" customWidth="1"/>
    <col min="530" max="530" width="35.42578125" customWidth="1"/>
    <col min="769" max="769" width="4.42578125" customWidth="1"/>
    <col min="775" max="775" width="9.5703125" bestFit="1" customWidth="1"/>
    <col min="777" max="777" width="44.7109375" customWidth="1"/>
    <col min="786" max="786" width="35.42578125" customWidth="1"/>
    <col min="1025" max="1025" width="4.42578125" customWidth="1"/>
    <col min="1031" max="1031" width="9.5703125" bestFit="1" customWidth="1"/>
    <col min="1033" max="1033" width="44.7109375" customWidth="1"/>
    <col min="1042" max="1042" width="35.42578125" customWidth="1"/>
    <col min="1281" max="1281" width="4.42578125" customWidth="1"/>
    <col min="1287" max="1287" width="9.5703125" bestFit="1" customWidth="1"/>
    <col min="1289" max="1289" width="44.7109375" customWidth="1"/>
    <col min="1298" max="1298" width="35.42578125" customWidth="1"/>
    <col min="1537" max="1537" width="4.42578125" customWidth="1"/>
    <col min="1543" max="1543" width="9.5703125" bestFit="1" customWidth="1"/>
    <col min="1545" max="1545" width="44.7109375" customWidth="1"/>
    <col min="1554" max="1554" width="35.42578125" customWidth="1"/>
    <col min="1793" max="1793" width="4.42578125" customWidth="1"/>
    <col min="1799" max="1799" width="9.5703125" bestFit="1" customWidth="1"/>
    <col min="1801" max="1801" width="44.7109375" customWidth="1"/>
    <col min="1810" max="1810" width="35.42578125" customWidth="1"/>
    <col min="2049" max="2049" width="4.42578125" customWidth="1"/>
    <col min="2055" max="2055" width="9.5703125" bestFit="1" customWidth="1"/>
    <col min="2057" max="2057" width="44.7109375" customWidth="1"/>
    <col min="2066" max="2066" width="35.42578125" customWidth="1"/>
    <col min="2305" max="2305" width="4.42578125" customWidth="1"/>
    <col min="2311" max="2311" width="9.5703125" bestFit="1" customWidth="1"/>
    <col min="2313" max="2313" width="44.7109375" customWidth="1"/>
    <col min="2322" max="2322" width="35.42578125" customWidth="1"/>
    <col min="2561" max="2561" width="4.42578125" customWidth="1"/>
    <col min="2567" max="2567" width="9.5703125" bestFit="1" customWidth="1"/>
    <col min="2569" max="2569" width="44.7109375" customWidth="1"/>
    <col min="2578" max="2578" width="35.42578125" customWidth="1"/>
    <col min="2817" max="2817" width="4.42578125" customWidth="1"/>
    <col min="2823" max="2823" width="9.5703125" bestFit="1" customWidth="1"/>
    <col min="2825" max="2825" width="44.7109375" customWidth="1"/>
    <col min="2834" max="2834" width="35.42578125" customWidth="1"/>
    <col min="3073" max="3073" width="4.42578125" customWidth="1"/>
    <col min="3079" max="3079" width="9.5703125" bestFit="1" customWidth="1"/>
    <col min="3081" max="3081" width="44.7109375" customWidth="1"/>
    <col min="3090" max="3090" width="35.42578125" customWidth="1"/>
    <col min="3329" max="3329" width="4.42578125" customWidth="1"/>
    <col min="3335" max="3335" width="9.5703125" bestFit="1" customWidth="1"/>
    <col min="3337" max="3337" width="44.7109375" customWidth="1"/>
    <col min="3346" max="3346" width="35.42578125" customWidth="1"/>
    <col min="3585" max="3585" width="4.42578125" customWidth="1"/>
    <col min="3591" max="3591" width="9.5703125" bestFit="1" customWidth="1"/>
    <col min="3593" max="3593" width="44.7109375" customWidth="1"/>
    <col min="3602" max="3602" width="35.42578125" customWidth="1"/>
    <col min="3841" max="3841" width="4.42578125" customWidth="1"/>
    <col min="3847" max="3847" width="9.5703125" bestFit="1" customWidth="1"/>
    <col min="3849" max="3849" width="44.7109375" customWidth="1"/>
    <col min="3858" max="3858" width="35.42578125" customWidth="1"/>
    <col min="4097" max="4097" width="4.42578125" customWidth="1"/>
    <col min="4103" max="4103" width="9.5703125" bestFit="1" customWidth="1"/>
    <col min="4105" max="4105" width="44.7109375" customWidth="1"/>
    <col min="4114" max="4114" width="35.42578125" customWidth="1"/>
    <col min="4353" max="4353" width="4.42578125" customWidth="1"/>
    <col min="4359" max="4359" width="9.5703125" bestFit="1" customWidth="1"/>
    <col min="4361" max="4361" width="44.7109375" customWidth="1"/>
    <col min="4370" max="4370" width="35.42578125" customWidth="1"/>
    <col min="4609" max="4609" width="4.42578125" customWidth="1"/>
    <col min="4615" max="4615" width="9.5703125" bestFit="1" customWidth="1"/>
    <col min="4617" max="4617" width="44.7109375" customWidth="1"/>
    <col min="4626" max="4626" width="35.42578125" customWidth="1"/>
    <col min="4865" max="4865" width="4.42578125" customWidth="1"/>
    <col min="4871" max="4871" width="9.5703125" bestFit="1" customWidth="1"/>
    <col min="4873" max="4873" width="44.7109375" customWidth="1"/>
    <col min="4882" max="4882" width="35.42578125" customWidth="1"/>
    <col min="5121" max="5121" width="4.42578125" customWidth="1"/>
    <col min="5127" max="5127" width="9.5703125" bestFit="1" customWidth="1"/>
    <col min="5129" max="5129" width="44.7109375" customWidth="1"/>
    <col min="5138" max="5138" width="35.42578125" customWidth="1"/>
    <col min="5377" max="5377" width="4.42578125" customWidth="1"/>
    <col min="5383" max="5383" width="9.5703125" bestFit="1" customWidth="1"/>
    <col min="5385" max="5385" width="44.7109375" customWidth="1"/>
    <col min="5394" max="5394" width="35.42578125" customWidth="1"/>
    <col min="5633" max="5633" width="4.42578125" customWidth="1"/>
    <col min="5639" max="5639" width="9.5703125" bestFit="1" customWidth="1"/>
    <col min="5641" max="5641" width="44.7109375" customWidth="1"/>
    <col min="5650" max="5650" width="35.42578125" customWidth="1"/>
    <col min="5889" max="5889" width="4.42578125" customWidth="1"/>
    <col min="5895" max="5895" width="9.5703125" bestFit="1" customWidth="1"/>
    <col min="5897" max="5897" width="44.7109375" customWidth="1"/>
    <col min="5906" max="5906" width="35.42578125" customWidth="1"/>
    <col min="6145" max="6145" width="4.42578125" customWidth="1"/>
    <col min="6151" max="6151" width="9.5703125" bestFit="1" customWidth="1"/>
    <col min="6153" max="6153" width="44.7109375" customWidth="1"/>
    <col min="6162" max="6162" width="35.42578125" customWidth="1"/>
    <col min="6401" max="6401" width="4.42578125" customWidth="1"/>
    <col min="6407" max="6407" width="9.5703125" bestFit="1" customWidth="1"/>
    <col min="6409" max="6409" width="44.7109375" customWidth="1"/>
    <col min="6418" max="6418" width="35.42578125" customWidth="1"/>
    <col min="6657" max="6657" width="4.42578125" customWidth="1"/>
    <col min="6663" max="6663" width="9.5703125" bestFit="1" customWidth="1"/>
    <col min="6665" max="6665" width="44.7109375" customWidth="1"/>
    <col min="6674" max="6674" width="35.42578125" customWidth="1"/>
    <col min="6913" max="6913" width="4.42578125" customWidth="1"/>
    <col min="6919" max="6919" width="9.5703125" bestFit="1" customWidth="1"/>
    <col min="6921" max="6921" width="44.7109375" customWidth="1"/>
    <col min="6930" max="6930" width="35.42578125" customWidth="1"/>
    <col min="7169" max="7169" width="4.42578125" customWidth="1"/>
    <col min="7175" max="7175" width="9.5703125" bestFit="1" customWidth="1"/>
    <col min="7177" max="7177" width="44.7109375" customWidth="1"/>
    <col min="7186" max="7186" width="35.42578125" customWidth="1"/>
    <col min="7425" max="7425" width="4.42578125" customWidth="1"/>
    <col min="7431" max="7431" width="9.5703125" bestFit="1" customWidth="1"/>
    <col min="7433" max="7433" width="44.7109375" customWidth="1"/>
    <col min="7442" max="7442" width="35.42578125" customWidth="1"/>
    <col min="7681" max="7681" width="4.42578125" customWidth="1"/>
    <col min="7687" max="7687" width="9.5703125" bestFit="1" customWidth="1"/>
    <col min="7689" max="7689" width="44.7109375" customWidth="1"/>
    <col min="7698" max="7698" width="35.42578125" customWidth="1"/>
    <col min="7937" max="7937" width="4.42578125" customWidth="1"/>
    <col min="7943" max="7943" width="9.5703125" bestFit="1" customWidth="1"/>
    <col min="7945" max="7945" width="44.7109375" customWidth="1"/>
    <col min="7954" max="7954" width="35.42578125" customWidth="1"/>
    <col min="8193" max="8193" width="4.42578125" customWidth="1"/>
    <col min="8199" max="8199" width="9.5703125" bestFit="1" customWidth="1"/>
    <col min="8201" max="8201" width="44.7109375" customWidth="1"/>
    <col min="8210" max="8210" width="35.42578125" customWidth="1"/>
    <col min="8449" max="8449" width="4.42578125" customWidth="1"/>
    <col min="8455" max="8455" width="9.5703125" bestFit="1" customWidth="1"/>
    <col min="8457" max="8457" width="44.7109375" customWidth="1"/>
    <col min="8466" max="8466" width="35.42578125" customWidth="1"/>
    <col min="8705" max="8705" width="4.42578125" customWidth="1"/>
    <col min="8711" max="8711" width="9.5703125" bestFit="1" customWidth="1"/>
    <col min="8713" max="8713" width="44.7109375" customWidth="1"/>
    <col min="8722" max="8722" width="35.42578125" customWidth="1"/>
    <col min="8961" max="8961" width="4.42578125" customWidth="1"/>
    <col min="8967" max="8967" width="9.5703125" bestFit="1" customWidth="1"/>
    <col min="8969" max="8969" width="44.7109375" customWidth="1"/>
    <col min="8978" max="8978" width="35.42578125" customWidth="1"/>
    <col min="9217" max="9217" width="4.42578125" customWidth="1"/>
    <col min="9223" max="9223" width="9.5703125" bestFit="1" customWidth="1"/>
    <col min="9225" max="9225" width="44.7109375" customWidth="1"/>
    <col min="9234" max="9234" width="35.42578125" customWidth="1"/>
    <col min="9473" max="9473" width="4.42578125" customWidth="1"/>
    <col min="9479" max="9479" width="9.5703125" bestFit="1" customWidth="1"/>
    <col min="9481" max="9481" width="44.7109375" customWidth="1"/>
    <col min="9490" max="9490" width="35.42578125" customWidth="1"/>
    <col min="9729" max="9729" width="4.42578125" customWidth="1"/>
    <col min="9735" max="9735" width="9.5703125" bestFit="1" customWidth="1"/>
    <col min="9737" max="9737" width="44.7109375" customWidth="1"/>
    <col min="9746" max="9746" width="35.42578125" customWidth="1"/>
    <col min="9985" max="9985" width="4.42578125" customWidth="1"/>
    <col min="9991" max="9991" width="9.5703125" bestFit="1" customWidth="1"/>
    <col min="9993" max="9993" width="44.7109375" customWidth="1"/>
    <col min="10002" max="10002" width="35.42578125" customWidth="1"/>
    <col min="10241" max="10241" width="4.42578125" customWidth="1"/>
    <col min="10247" max="10247" width="9.5703125" bestFit="1" customWidth="1"/>
    <col min="10249" max="10249" width="44.7109375" customWidth="1"/>
    <col min="10258" max="10258" width="35.42578125" customWidth="1"/>
    <col min="10497" max="10497" width="4.42578125" customWidth="1"/>
    <col min="10503" max="10503" width="9.5703125" bestFit="1" customWidth="1"/>
    <col min="10505" max="10505" width="44.7109375" customWidth="1"/>
    <col min="10514" max="10514" width="35.42578125" customWidth="1"/>
    <col min="10753" max="10753" width="4.42578125" customWidth="1"/>
    <col min="10759" max="10759" width="9.5703125" bestFit="1" customWidth="1"/>
    <col min="10761" max="10761" width="44.7109375" customWidth="1"/>
    <col min="10770" max="10770" width="35.42578125" customWidth="1"/>
    <col min="11009" max="11009" width="4.42578125" customWidth="1"/>
    <col min="11015" max="11015" width="9.5703125" bestFit="1" customWidth="1"/>
    <col min="11017" max="11017" width="44.7109375" customWidth="1"/>
    <col min="11026" max="11026" width="35.42578125" customWidth="1"/>
    <col min="11265" max="11265" width="4.42578125" customWidth="1"/>
    <col min="11271" max="11271" width="9.5703125" bestFit="1" customWidth="1"/>
    <col min="11273" max="11273" width="44.7109375" customWidth="1"/>
    <col min="11282" max="11282" width="35.42578125" customWidth="1"/>
    <col min="11521" max="11521" width="4.42578125" customWidth="1"/>
    <col min="11527" max="11527" width="9.5703125" bestFit="1" customWidth="1"/>
    <col min="11529" max="11529" width="44.7109375" customWidth="1"/>
    <col min="11538" max="11538" width="35.42578125" customWidth="1"/>
    <col min="11777" max="11777" width="4.42578125" customWidth="1"/>
    <col min="11783" max="11783" width="9.5703125" bestFit="1" customWidth="1"/>
    <col min="11785" max="11785" width="44.7109375" customWidth="1"/>
    <col min="11794" max="11794" width="35.42578125" customWidth="1"/>
    <col min="12033" max="12033" width="4.42578125" customWidth="1"/>
    <col min="12039" max="12039" width="9.5703125" bestFit="1" customWidth="1"/>
    <col min="12041" max="12041" width="44.7109375" customWidth="1"/>
    <col min="12050" max="12050" width="35.42578125" customWidth="1"/>
    <col min="12289" max="12289" width="4.42578125" customWidth="1"/>
    <col min="12295" max="12295" width="9.5703125" bestFit="1" customWidth="1"/>
    <col min="12297" max="12297" width="44.7109375" customWidth="1"/>
    <col min="12306" max="12306" width="35.42578125" customWidth="1"/>
    <col min="12545" max="12545" width="4.42578125" customWidth="1"/>
    <col min="12551" max="12551" width="9.5703125" bestFit="1" customWidth="1"/>
    <col min="12553" max="12553" width="44.7109375" customWidth="1"/>
    <col min="12562" max="12562" width="35.42578125" customWidth="1"/>
    <col min="12801" max="12801" width="4.42578125" customWidth="1"/>
    <col min="12807" max="12807" width="9.5703125" bestFit="1" customWidth="1"/>
    <col min="12809" max="12809" width="44.7109375" customWidth="1"/>
    <col min="12818" max="12818" width="35.42578125" customWidth="1"/>
    <col min="13057" max="13057" width="4.42578125" customWidth="1"/>
    <col min="13063" max="13063" width="9.5703125" bestFit="1" customWidth="1"/>
    <col min="13065" max="13065" width="44.7109375" customWidth="1"/>
    <col min="13074" max="13074" width="35.42578125" customWidth="1"/>
    <col min="13313" max="13313" width="4.42578125" customWidth="1"/>
    <col min="13319" max="13319" width="9.5703125" bestFit="1" customWidth="1"/>
    <col min="13321" max="13321" width="44.7109375" customWidth="1"/>
    <col min="13330" max="13330" width="35.42578125" customWidth="1"/>
    <col min="13569" max="13569" width="4.42578125" customWidth="1"/>
    <col min="13575" max="13575" width="9.5703125" bestFit="1" customWidth="1"/>
    <col min="13577" max="13577" width="44.7109375" customWidth="1"/>
    <col min="13586" max="13586" width="35.42578125" customWidth="1"/>
    <col min="13825" max="13825" width="4.42578125" customWidth="1"/>
    <col min="13831" max="13831" width="9.5703125" bestFit="1" customWidth="1"/>
    <col min="13833" max="13833" width="44.7109375" customWidth="1"/>
    <col min="13842" max="13842" width="35.42578125" customWidth="1"/>
    <col min="14081" max="14081" width="4.42578125" customWidth="1"/>
    <col min="14087" max="14087" width="9.5703125" bestFit="1" customWidth="1"/>
    <col min="14089" max="14089" width="44.7109375" customWidth="1"/>
    <col min="14098" max="14098" width="35.42578125" customWidth="1"/>
    <col min="14337" max="14337" width="4.42578125" customWidth="1"/>
    <col min="14343" max="14343" width="9.5703125" bestFit="1" customWidth="1"/>
    <col min="14345" max="14345" width="44.7109375" customWidth="1"/>
    <col min="14354" max="14354" width="35.42578125" customWidth="1"/>
    <col min="14593" max="14593" width="4.42578125" customWidth="1"/>
    <col min="14599" max="14599" width="9.5703125" bestFit="1" customWidth="1"/>
    <col min="14601" max="14601" width="44.7109375" customWidth="1"/>
    <col min="14610" max="14610" width="35.42578125" customWidth="1"/>
    <col min="14849" max="14849" width="4.42578125" customWidth="1"/>
    <col min="14855" max="14855" width="9.5703125" bestFit="1" customWidth="1"/>
    <col min="14857" max="14857" width="44.7109375" customWidth="1"/>
    <col min="14866" max="14866" width="35.42578125" customWidth="1"/>
    <col min="15105" max="15105" width="4.42578125" customWidth="1"/>
    <col min="15111" max="15111" width="9.5703125" bestFit="1" customWidth="1"/>
    <col min="15113" max="15113" width="44.7109375" customWidth="1"/>
    <col min="15122" max="15122" width="35.42578125" customWidth="1"/>
    <col min="15361" max="15361" width="4.42578125" customWidth="1"/>
    <col min="15367" max="15367" width="9.5703125" bestFit="1" customWidth="1"/>
    <col min="15369" max="15369" width="44.7109375" customWidth="1"/>
    <col min="15378" max="15378" width="35.42578125" customWidth="1"/>
    <col min="15617" max="15617" width="4.42578125" customWidth="1"/>
    <col min="15623" max="15623" width="9.5703125" bestFit="1" customWidth="1"/>
    <col min="15625" max="15625" width="44.7109375" customWidth="1"/>
    <col min="15634" max="15634" width="35.42578125" customWidth="1"/>
    <col min="15873" max="15873" width="4.42578125" customWidth="1"/>
    <col min="15879" max="15879" width="9.5703125" bestFit="1" customWidth="1"/>
    <col min="15881" max="15881" width="44.7109375" customWidth="1"/>
    <col min="15890" max="15890" width="35.42578125" customWidth="1"/>
    <col min="16129" max="16129" width="4.42578125" customWidth="1"/>
    <col min="16135" max="16135" width="9.5703125" bestFit="1" customWidth="1"/>
    <col min="16137" max="16137" width="44.7109375" customWidth="1"/>
    <col min="16146" max="16146" width="35.42578125" customWidth="1"/>
  </cols>
  <sheetData>
    <row r="1" spans="1:18" ht="15.75" customHeight="1" x14ac:dyDescent="0.25"/>
    <row r="2" spans="1:18" ht="21.75" customHeight="1" x14ac:dyDescent="0.25">
      <c r="A2" s="3"/>
      <c r="B2" s="3"/>
      <c r="C2" s="3"/>
      <c r="D2" s="3"/>
      <c r="E2" s="4" t="s">
        <v>204</v>
      </c>
      <c r="F2" s="3"/>
      <c r="G2" s="3"/>
      <c r="H2" s="3"/>
      <c r="I2" s="3"/>
      <c r="J2" s="3"/>
      <c r="K2" s="3"/>
      <c r="L2" s="3"/>
      <c r="M2" s="3"/>
      <c r="N2" s="4" t="s">
        <v>204</v>
      </c>
      <c r="O2" s="3"/>
      <c r="P2" s="3"/>
      <c r="Q2" s="3"/>
      <c r="R2" s="3"/>
    </row>
    <row r="3" spans="1:18" ht="24" customHeight="1" x14ac:dyDescent="0.25">
      <c r="A3" s="3" t="s">
        <v>205</v>
      </c>
      <c r="B3" s="3"/>
      <c r="C3" s="3"/>
      <c r="D3" s="3" t="s">
        <v>689</v>
      </c>
      <c r="E3" s="3"/>
      <c r="F3" s="3"/>
      <c r="G3" s="3"/>
      <c r="H3" s="3"/>
      <c r="I3" s="3"/>
      <c r="J3" s="3" t="s">
        <v>205</v>
      </c>
      <c r="K3" s="3"/>
      <c r="L3" s="3"/>
      <c r="M3" s="3" t="s">
        <v>690</v>
      </c>
      <c r="N3" s="3"/>
      <c r="O3" s="3"/>
      <c r="P3" s="3"/>
      <c r="Q3" s="3"/>
      <c r="R3" s="3"/>
    </row>
    <row r="4" spans="1:18" ht="20.25" customHeight="1" x14ac:dyDescent="0.25">
      <c r="A4" s="3"/>
      <c r="B4" s="5" t="s">
        <v>440</v>
      </c>
      <c r="C4" s="3"/>
      <c r="D4" s="3"/>
      <c r="E4" s="3"/>
      <c r="F4" s="3"/>
      <c r="G4" s="3"/>
      <c r="H4" s="3"/>
      <c r="I4" s="3"/>
      <c r="J4" s="3"/>
      <c r="K4" s="5" t="s">
        <v>440</v>
      </c>
      <c r="L4" s="3"/>
      <c r="M4" s="3"/>
      <c r="N4" s="3"/>
      <c r="O4" s="3"/>
      <c r="P4" s="3"/>
      <c r="Q4" s="3"/>
      <c r="R4" s="3"/>
    </row>
    <row r="5" spans="1:18" ht="13.5" customHeight="1" thickBot="1" x14ac:dyDescent="0.3">
      <c r="A5" s="3"/>
      <c r="B5" s="5" t="s">
        <v>206</v>
      </c>
      <c r="C5" s="3"/>
      <c r="D5" s="3"/>
      <c r="E5" s="3"/>
      <c r="F5" s="3">
        <v>10972.8</v>
      </c>
      <c r="G5" s="3" t="s">
        <v>207</v>
      </c>
      <c r="H5" s="3"/>
      <c r="I5" s="3"/>
      <c r="J5" s="3"/>
      <c r="K5" s="5" t="s">
        <v>206</v>
      </c>
      <c r="L5" s="3"/>
      <c r="M5" s="3"/>
      <c r="N5" s="3"/>
      <c r="O5" s="3">
        <v>10403.700000000001</v>
      </c>
      <c r="P5" s="3" t="s">
        <v>208</v>
      </c>
      <c r="Q5" s="3"/>
      <c r="R5" s="3"/>
    </row>
    <row r="6" spans="1:18" ht="30.75" customHeight="1" x14ac:dyDescent="0.25">
      <c r="A6" s="175" t="s">
        <v>209</v>
      </c>
      <c r="B6" s="177" t="s">
        <v>210</v>
      </c>
      <c r="C6" s="178"/>
      <c r="D6" s="178"/>
      <c r="E6" s="178"/>
      <c r="F6" s="178"/>
      <c r="G6" s="180" t="s">
        <v>441</v>
      </c>
      <c r="H6" s="181"/>
      <c r="I6" s="175" t="s">
        <v>212</v>
      </c>
      <c r="J6" s="175" t="s">
        <v>209</v>
      </c>
      <c r="K6" s="177" t="s">
        <v>210</v>
      </c>
      <c r="L6" s="178"/>
      <c r="M6" s="178"/>
      <c r="N6" s="178"/>
      <c r="O6" s="178"/>
      <c r="P6" s="180" t="s">
        <v>441</v>
      </c>
      <c r="Q6" s="181"/>
      <c r="R6" s="175" t="s">
        <v>212</v>
      </c>
    </row>
    <row r="7" spans="1:18" ht="21" customHeight="1" thickBot="1" x14ac:dyDescent="0.3">
      <c r="A7" s="176"/>
      <c r="B7" s="179"/>
      <c r="C7" s="179"/>
      <c r="D7" s="179"/>
      <c r="E7" s="179"/>
      <c r="F7" s="179"/>
      <c r="G7" s="182"/>
      <c r="H7" s="183"/>
      <c r="I7" s="184"/>
      <c r="J7" s="176"/>
      <c r="K7" s="179"/>
      <c r="L7" s="179"/>
      <c r="M7" s="179"/>
      <c r="N7" s="179"/>
      <c r="O7" s="179"/>
      <c r="P7" s="182"/>
      <c r="Q7" s="183"/>
      <c r="R7" s="184"/>
    </row>
    <row r="8" spans="1:18" x14ac:dyDescent="0.25">
      <c r="A8" s="185" t="s">
        <v>213</v>
      </c>
      <c r="B8" s="187" t="s">
        <v>354</v>
      </c>
      <c r="C8" s="188"/>
      <c r="D8" s="188"/>
      <c r="E8" s="188"/>
      <c r="F8" s="188"/>
      <c r="G8" s="190">
        <v>288278</v>
      </c>
      <c r="H8" s="191"/>
      <c r="I8" s="192"/>
      <c r="J8" s="185" t="s">
        <v>213</v>
      </c>
      <c r="K8" s="187" t="s">
        <v>354</v>
      </c>
      <c r="L8" s="188"/>
      <c r="M8" s="188"/>
      <c r="N8" s="188"/>
      <c r="O8" s="188"/>
      <c r="P8" s="190">
        <v>235804</v>
      </c>
      <c r="Q8" s="191"/>
      <c r="R8" s="192"/>
    </row>
    <row r="9" spans="1:18" ht="15.75" thickBot="1" x14ac:dyDescent="0.3">
      <c r="A9" s="186"/>
      <c r="B9" s="189"/>
      <c r="C9" s="189"/>
      <c r="D9" s="189"/>
      <c r="E9" s="189"/>
      <c r="F9" s="189"/>
      <c r="G9" s="193"/>
      <c r="H9" s="194"/>
      <c r="I9" s="128"/>
      <c r="J9" s="186"/>
      <c r="K9" s="189"/>
      <c r="L9" s="189"/>
      <c r="M9" s="189"/>
      <c r="N9" s="189"/>
      <c r="O9" s="189"/>
      <c r="P9" s="193"/>
      <c r="Q9" s="194"/>
      <c r="R9" s="128"/>
    </row>
    <row r="10" spans="1:18" x14ac:dyDescent="0.25">
      <c r="A10" s="6"/>
      <c r="B10" s="161" t="s">
        <v>214</v>
      </c>
      <c r="C10" s="162"/>
      <c r="D10" s="162"/>
      <c r="E10" s="162"/>
      <c r="F10" s="162"/>
      <c r="G10" s="163">
        <f>1.84*F5*12</f>
        <v>242279.424</v>
      </c>
      <c r="H10" s="164"/>
      <c r="I10" s="169" t="s">
        <v>215</v>
      </c>
      <c r="J10" s="6"/>
      <c r="K10" s="161" t="s">
        <v>214</v>
      </c>
      <c r="L10" s="162"/>
      <c r="M10" s="162"/>
      <c r="N10" s="162"/>
      <c r="O10" s="162"/>
      <c r="P10" s="289">
        <f>1.72*O5*12</f>
        <v>214732.36800000002</v>
      </c>
      <c r="Q10" s="290"/>
      <c r="R10" s="169" t="s">
        <v>215</v>
      </c>
    </row>
    <row r="11" spans="1:18" ht="30.75" customHeight="1" thickBot="1" x14ac:dyDescent="0.3">
      <c r="A11" s="7"/>
      <c r="B11" s="171" t="s">
        <v>216</v>
      </c>
      <c r="C11" s="172"/>
      <c r="D11" s="172"/>
      <c r="E11" s="172"/>
      <c r="F11" s="172"/>
      <c r="G11" s="165"/>
      <c r="H11" s="166"/>
      <c r="I11" s="170"/>
      <c r="J11" s="7"/>
      <c r="K11" s="171" t="s">
        <v>216</v>
      </c>
      <c r="L11" s="172"/>
      <c r="M11" s="172"/>
      <c r="N11" s="172"/>
      <c r="O11" s="172"/>
      <c r="P11" s="291"/>
      <c r="Q11" s="292"/>
      <c r="R11" s="170"/>
    </row>
    <row r="12" spans="1:18" ht="15.75" thickBot="1" x14ac:dyDescent="0.3">
      <c r="A12" s="7"/>
      <c r="B12" s="173" t="s">
        <v>217</v>
      </c>
      <c r="C12" s="174"/>
      <c r="D12" s="174"/>
      <c r="E12" s="174"/>
      <c r="F12" s="174"/>
      <c r="G12" s="167"/>
      <c r="H12" s="168"/>
      <c r="I12" s="8" t="s">
        <v>218</v>
      </c>
      <c r="J12" s="7"/>
      <c r="K12" s="173" t="s">
        <v>217</v>
      </c>
      <c r="L12" s="174"/>
      <c r="M12" s="174"/>
      <c r="N12" s="174"/>
      <c r="O12" s="174"/>
      <c r="P12" s="293"/>
      <c r="Q12" s="294"/>
      <c r="R12" s="8" t="s">
        <v>218</v>
      </c>
    </row>
    <row r="13" spans="1:18" ht="15.75" thickBot="1" x14ac:dyDescent="0.3">
      <c r="A13" s="7"/>
      <c r="B13" s="141" t="s">
        <v>219</v>
      </c>
      <c r="C13" s="142"/>
      <c r="D13" s="142"/>
      <c r="E13" s="142"/>
      <c r="F13" s="142"/>
      <c r="G13" s="143">
        <f>2782*4*12</f>
        <v>133536</v>
      </c>
      <c r="H13" s="144"/>
      <c r="I13" s="8" t="s">
        <v>220</v>
      </c>
      <c r="J13" s="7"/>
      <c r="K13" s="141" t="s">
        <v>219</v>
      </c>
      <c r="L13" s="142"/>
      <c r="M13" s="142"/>
      <c r="N13" s="142"/>
      <c r="O13" s="142"/>
      <c r="P13" s="143">
        <f>1748*5*12</f>
        <v>104880</v>
      </c>
      <c r="Q13" s="144"/>
      <c r="R13" s="8" t="s">
        <v>220</v>
      </c>
    </row>
    <row r="14" spans="1:18" ht="15.75" thickBot="1" x14ac:dyDescent="0.3">
      <c r="A14" s="7"/>
      <c r="B14" s="141" t="s">
        <v>221</v>
      </c>
      <c r="C14" s="142"/>
      <c r="D14" s="142"/>
      <c r="E14" s="142"/>
      <c r="F14" s="142"/>
      <c r="G14" s="143">
        <f>0.474*F5*12</f>
        <v>62413.286399999997</v>
      </c>
      <c r="H14" s="144"/>
      <c r="I14" s="8" t="s">
        <v>222</v>
      </c>
      <c r="J14" s="7"/>
      <c r="K14" s="141" t="s">
        <v>221</v>
      </c>
      <c r="L14" s="142"/>
      <c r="M14" s="142"/>
      <c r="N14" s="142"/>
      <c r="O14" s="142"/>
      <c r="P14" s="143">
        <f>0.474*O5*12</f>
        <v>59176.245599999995</v>
      </c>
      <c r="Q14" s="144"/>
      <c r="R14" s="8" t="s">
        <v>222</v>
      </c>
    </row>
    <row r="15" spans="1:18" x14ac:dyDescent="0.25">
      <c r="A15" s="9"/>
      <c r="B15" s="145" t="s">
        <v>223</v>
      </c>
      <c r="C15" s="146"/>
      <c r="D15" s="146"/>
      <c r="E15" s="146"/>
      <c r="F15" s="146"/>
      <c r="G15" s="86">
        <f>1.69*F5*12</f>
        <v>222528.38399999999</v>
      </c>
      <c r="H15" s="147"/>
      <c r="I15" s="152" t="s">
        <v>224</v>
      </c>
      <c r="J15" s="9"/>
      <c r="K15" s="145" t="s">
        <v>225</v>
      </c>
      <c r="L15" s="146"/>
      <c r="M15" s="146"/>
      <c r="N15" s="146"/>
      <c r="O15" s="146"/>
      <c r="P15" s="86">
        <f>1.75*O5*12</f>
        <v>218477.7</v>
      </c>
      <c r="Q15" s="284"/>
      <c r="R15" s="152" t="s">
        <v>224</v>
      </c>
    </row>
    <row r="16" spans="1:18" ht="15.75" customHeight="1" x14ac:dyDescent="0.25">
      <c r="A16" s="10"/>
      <c r="B16" s="155" t="s">
        <v>226</v>
      </c>
      <c r="C16" s="156"/>
      <c r="D16" s="156"/>
      <c r="E16" s="156"/>
      <c r="F16" s="156"/>
      <c r="G16" s="148"/>
      <c r="H16" s="149"/>
      <c r="I16" s="153"/>
      <c r="J16" s="10"/>
      <c r="K16" s="155" t="s">
        <v>226</v>
      </c>
      <c r="L16" s="156"/>
      <c r="M16" s="156"/>
      <c r="N16" s="156"/>
      <c r="O16" s="156"/>
      <c r="P16" s="285"/>
      <c r="Q16" s="286"/>
      <c r="R16" s="153"/>
    </row>
    <row r="17" spans="1:18" ht="31.5" customHeight="1" thickBot="1" x14ac:dyDescent="0.3">
      <c r="A17" s="10"/>
      <c r="B17" s="157" t="s">
        <v>227</v>
      </c>
      <c r="C17" s="158"/>
      <c r="D17" s="158"/>
      <c r="E17" s="158"/>
      <c r="F17" s="158"/>
      <c r="G17" s="148"/>
      <c r="H17" s="149"/>
      <c r="I17" s="154"/>
      <c r="J17" s="10"/>
      <c r="K17" s="157" t="s">
        <v>227</v>
      </c>
      <c r="L17" s="158"/>
      <c r="M17" s="158"/>
      <c r="N17" s="158"/>
      <c r="O17" s="158"/>
      <c r="P17" s="285"/>
      <c r="Q17" s="286"/>
      <c r="R17" s="154"/>
    </row>
    <row r="18" spans="1:18" ht="34.5" customHeight="1" thickBot="1" x14ac:dyDescent="0.3">
      <c r="A18" s="10"/>
      <c r="B18" s="159" t="s">
        <v>228</v>
      </c>
      <c r="C18" s="160"/>
      <c r="D18" s="160"/>
      <c r="E18" s="160"/>
      <c r="F18" s="160"/>
      <c r="G18" s="150"/>
      <c r="H18" s="151"/>
      <c r="I18" s="11" t="s">
        <v>229</v>
      </c>
      <c r="J18" s="10"/>
      <c r="K18" s="159" t="s">
        <v>228</v>
      </c>
      <c r="L18" s="160"/>
      <c r="M18" s="160"/>
      <c r="N18" s="160"/>
      <c r="O18" s="160"/>
      <c r="P18" s="287"/>
      <c r="Q18" s="288"/>
      <c r="R18" s="11" t="s">
        <v>229</v>
      </c>
    </row>
    <row r="19" spans="1:18" ht="33.75" customHeight="1" x14ac:dyDescent="0.25">
      <c r="A19" s="12"/>
      <c r="B19" s="125" t="s">
        <v>230</v>
      </c>
      <c r="C19" s="126"/>
      <c r="D19" s="126"/>
      <c r="E19" s="126"/>
      <c r="F19" s="126"/>
      <c r="G19" s="86">
        <f>0.04*F5*12</f>
        <v>5266.9439999999995</v>
      </c>
      <c r="H19" s="87"/>
      <c r="I19" s="129" t="s">
        <v>220</v>
      </c>
      <c r="J19" s="12"/>
      <c r="K19" s="125" t="s">
        <v>230</v>
      </c>
      <c r="L19" s="126"/>
      <c r="M19" s="126"/>
      <c r="N19" s="126"/>
      <c r="O19" s="126"/>
      <c r="P19" s="86">
        <f>0.04*O5*12</f>
        <v>4993.7759999999998</v>
      </c>
      <c r="Q19" s="87"/>
      <c r="R19" s="129" t="s">
        <v>220</v>
      </c>
    </row>
    <row r="20" spans="1:18" ht="39" customHeight="1" thickBot="1" x14ac:dyDescent="0.3">
      <c r="A20" s="7"/>
      <c r="B20" s="131" t="s">
        <v>231</v>
      </c>
      <c r="C20" s="132"/>
      <c r="D20" s="132"/>
      <c r="E20" s="132"/>
      <c r="F20" s="132"/>
      <c r="G20" s="127"/>
      <c r="H20" s="128"/>
      <c r="I20" s="130"/>
      <c r="J20" s="7"/>
      <c r="K20" s="131" t="s">
        <v>231</v>
      </c>
      <c r="L20" s="132"/>
      <c r="M20" s="132"/>
      <c r="N20" s="132"/>
      <c r="O20" s="132"/>
      <c r="P20" s="90"/>
      <c r="Q20" s="91"/>
      <c r="R20" s="130"/>
    </row>
    <row r="21" spans="1:18" ht="39.75" hidden="1" customHeight="1" x14ac:dyDescent="0.25">
      <c r="A21" s="7"/>
      <c r="B21" s="159"/>
      <c r="C21" s="160"/>
      <c r="D21" s="160"/>
      <c r="E21" s="160"/>
      <c r="F21" s="246"/>
      <c r="G21" s="250"/>
      <c r="H21" s="251"/>
      <c r="I21" s="8"/>
      <c r="J21" s="7"/>
      <c r="K21" s="159"/>
      <c r="L21" s="160"/>
      <c r="M21" s="160"/>
      <c r="N21" s="160"/>
      <c r="O21" s="246"/>
      <c r="P21" s="250"/>
      <c r="Q21" s="251"/>
      <c r="R21" s="8"/>
    </row>
    <row r="22" spans="1:18" ht="22.5" customHeight="1" thickBot="1" x14ac:dyDescent="0.3">
      <c r="A22" s="13"/>
      <c r="B22" s="133" t="s">
        <v>232</v>
      </c>
      <c r="C22" s="134"/>
      <c r="D22" s="134"/>
      <c r="E22" s="134"/>
      <c r="F22" s="134"/>
      <c r="G22" s="135"/>
      <c r="H22" s="136"/>
      <c r="I22" s="14"/>
      <c r="J22" s="13"/>
      <c r="K22" s="133" t="s">
        <v>232</v>
      </c>
      <c r="L22" s="134"/>
      <c r="M22" s="134"/>
      <c r="N22" s="134"/>
      <c r="O22" s="134"/>
      <c r="P22" s="135"/>
      <c r="Q22" s="136"/>
      <c r="R22" s="14"/>
    </row>
    <row r="23" spans="1:18" ht="29.25" customHeight="1" thickBot="1" x14ac:dyDescent="0.3">
      <c r="A23" s="13"/>
      <c r="B23" s="84" t="s">
        <v>233</v>
      </c>
      <c r="C23" s="85"/>
      <c r="D23" s="85"/>
      <c r="E23" s="85"/>
      <c r="F23" s="85"/>
      <c r="G23" s="86">
        <f>0.6*F5*12</f>
        <v>79004.159999999989</v>
      </c>
      <c r="H23" s="87"/>
      <c r="I23" s="92" t="s">
        <v>448</v>
      </c>
      <c r="J23" s="13"/>
      <c r="K23" s="84" t="s">
        <v>233</v>
      </c>
      <c r="L23" s="85"/>
      <c r="M23" s="85"/>
      <c r="N23" s="85"/>
      <c r="O23" s="85"/>
      <c r="P23" s="86">
        <f>0.61*O5*12</f>
        <v>76155.084000000003</v>
      </c>
      <c r="Q23" s="87"/>
      <c r="R23" s="92" t="s">
        <v>451</v>
      </c>
    </row>
    <row r="24" spans="1:18" ht="40.5" customHeight="1" x14ac:dyDescent="0.25">
      <c r="A24" s="118"/>
      <c r="B24" s="121" t="s">
        <v>226</v>
      </c>
      <c r="C24" s="122"/>
      <c r="D24" s="122"/>
      <c r="E24" s="122"/>
      <c r="F24" s="122"/>
      <c r="G24" s="88"/>
      <c r="H24" s="89"/>
      <c r="I24" s="93"/>
      <c r="J24" s="118"/>
      <c r="K24" s="121" t="s">
        <v>226</v>
      </c>
      <c r="L24" s="122"/>
      <c r="M24" s="122"/>
      <c r="N24" s="122"/>
      <c r="O24" s="122"/>
      <c r="P24" s="88"/>
      <c r="Q24" s="89"/>
      <c r="R24" s="93"/>
    </row>
    <row r="25" spans="1:18" ht="25.5" customHeight="1" x14ac:dyDescent="0.25">
      <c r="A25" s="119"/>
      <c r="B25" s="121" t="s">
        <v>227</v>
      </c>
      <c r="C25" s="122"/>
      <c r="D25" s="122"/>
      <c r="E25" s="122"/>
      <c r="F25" s="122"/>
      <c r="G25" s="88"/>
      <c r="H25" s="89"/>
      <c r="I25" s="93"/>
      <c r="J25" s="119"/>
      <c r="K25" s="121" t="s">
        <v>227</v>
      </c>
      <c r="L25" s="122"/>
      <c r="M25" s="122"/>
      <c r="N25" s="122"/>
      <c r="O25" s="122"/>
      <c r="P25" s="88"/>
      <c r="Q25" s="89"/>
      <c r="R25" s="93"/>
    </row>
    <row r="26" spans="1:18" ht="28.5" customHeight="1" x14ac:dyDescent="0.25">
      <c r="A26" s="119"/>
      <c r="B26" s="121" t="s">
        <v>228</v>
      </c>
      <c r="C26" s="122"/>
      <c r="D26" s="122"/>
      <c r="E26" s="122"/>
      <c r="F26" s="122"/>
      <c r="G26" s="88"/>
      <c r="H26" s="89"/>
      <c r="I26" s="93"/>
      <c r="J26" s="119"/>
      <c r="K26" s="121" t="s">
        <v>228</v>
      </c>
      <c r="L26" s="122"/>
      <c r="M26" s="122"/>
      <c r="N26" s="122"/>
      <c r="O26" s="122"/>
      <c r="P26" s="88"/>
      <c r="Q26" s="89"/>
      <c r="R26" s="93"/>
    </row>
    <row r="27" spans="1:18" ht="30" customHeight="1" thickBot="1" x14ac:dyDescent="0.3">
      <c r="A27" s="120"/>
      <c r="B27" s="123" t="s">
        <v>234</v>
      </c>
      <c r="C27" s="124"/>
      <c r="D27" s="124"/>
      <c r="E27" s="124"/>
      <c r="F27" s="124"/>
      <c r="G27" s="90"/>
      <c r="H27" s="91"/>
      <c r="I27" s="94"/>
      <c r="J27" s="120"/>
      <c r="K27" s="123" t="s">
        <v>234</v>
      </c>
      <c r="L27" s="124"/>
      <c r="M27" s="124"/>
      <c r="N27" s="124"/>
      <c r="O27" s="124"/>
      <c r="P27" s="90"/>
      <c r="Q27" s="91"/>
      <c r="R27" s="94"/>
    </row>
    <row r="28" spans="1:18" ht="14.25" hidden="1" customHeight="1" x14ac:dyDescent="0.25">
      <c r="A28" s="15"/>
      <c r="B28" s="137"/>
      <c r="C28" s="138"/>
      <c r="D28" s="138"/>
      <c r="E28" s="138"/>
      <c r="F28" s="138"/>
      <c r="G28" s="139"/>
      <c r="H28" s="140"/>
      <c r="I28" s="16"/>
      <c r="J28" s="15"/>
      <c r="K28" s="137"/>
      <c r="L28" s="138"/>
      <c r="M28" s="138"/>
      <c r="N28" s="138"/>
      <c r="O28" s="138"/>
      <c r="P28" s="139"/>
      <c r="Q28" s="140"/>
      <c r="R28" s="16"/>
    </row>
    <row r="29" spans="1:18" ht="34.5" customHeight="1" thickBot="1" x14ac:dyDescent="0.3">
      <c r="A29" s="15"/>
      <c r="B29" s="137" t="s">
        <v>235</v>
      </c>
      <c r="C29" s="138"/>
      <c r="D29" s="138"/>
      <c r="E29" s="138"/>
      <c r="F29" s="138"/>
      <c r="G29" s="139"/>
      <c r="H29" s="140"/>
      <c r="I29" s="16"/>
      <c r="J29" s="15"/>
      <c r="K29" s="137" t="s">
        <v>236</v>
      </c>
      <c r="L29" s="138"/>
      <c r="M29" s="138"/>
      <c r="N29" s="138"/>
      <c r="O29" s="138"/>
      <c r="P29" s="139"/>
      <c r="Q29" s="140"/>
      <c r="R29" s="16"/>
    </row>
    <row r="30" spans="1:18" ht="31.5" customHeight="1" thickBot="1" x14ac:dyDescent="0.3">
      <c r="A30" s="17"/>
      <c r="B30" s="78" t="s">
        <v>237</v>
      </c>
      <c r="C30" s="79"/>
      <c r="D30" s="79"/>
      <c r="E30" s="79"/>
      <c r="F30" s="79"/>
      <c r="G30" s="86">
        <f>54699+28541</f>
        <v>83240</v>
      </c>
      <c r="H30" s="87"/>
      <c r="I30" s="108" t="s">
        <v>229</v>
      </c>
      <c r="J30" s="17"/>
      <c r="K30" s="78" t="s">
        <v>237</v>
      </c>
      <c r="L30" s="79"/>
      <c r="M30" s="79"/>
      <c r="N30" s="79"/>
      <c r="O30" s="79"/>
      <c r="P30" s="86">
        <f>7663+118058</f>
        <v>125721</v>
      </c>
      <c r="Q30" s="87"/>
      <c r="R30" s="108" t="s">
        <v>229</v>
      </c>
    </row>
    <row r="31" spans="1:18" ht="15.75" thickBot="1" x14ac:dyDescent="0.3">
      <c r="A31" s="18"/>
      <c r="B31" s="110" t="s">
        <v>238</v>
      </c>
      <c r="C31" s="111"/>
      <c r="D31" s="111"/>
      <c r="E31" s="111"/>
      <c r="F31" s="111"/>
      <c r="G31" s="90"/>
      <c r="H31" s="91"/>
      <c r="I31" s="109"/>
      <c r="J31" s="18"/>
      <c r="K31" s="110" t="s">
        <v>238</v>
      </c>
      <c r="L31" s="111"/>
      <c r="M31" s="111"/>
      <c r="N31" s="111"/>
      <c r="O31" s="111"/>
      <c r="P31" s="90"/>
      <c r="Q31" s="91"/>
      <c r="R31" s="109"/>
    </row>
    <row r="32" spans="1:18" ht="15.75" thickBot="1" x14ac:dyDescent="0.3">
      <c r="A32" s="19"/>
      <c r="B32" s="112" t="s">
        <v>239</v>
      </c>
      <c r="C32" s="113"/>
      <c r="D32" s="113"/>
      <c r="E32" s="113"/>
      <c r="F32" s="113"/>
      <c r="G32" s="114">
        <f>G10+G13+G14+G15+G19+G21+G23+G30+G29</f>
        <v>828268.19839999999</v>
      </c>
      <c r="H32" s="115"/>
      <c r="I32" s="20"/>
      <c r="J32" s="19"/>
      <c r="K32" s="112" t="s">
        <v>239</v>
      </c>
      <c r="L32" s="113"/>
      <c r="M32" s="113"/>
      <c r="N32" s="113"/>
      <c r="O32" s="113"/>
      <c r="P32" s="114">
        <f>P10+P13+P14+P15+P19+P21+P23+P30+P29</f>
        <v>804136.17359999998</v>
      </c>
      <c r="Q32" s="115"/>
      <c r="R32" s="20"/>
    </row>
    <row r="33" spans="1:18" ht="15.75" thickBot="1" x14ac:dyDescent="0.3">
      <c r="A33" s="21"/>
      <c r="B33" s="101" t="s">
        <v>240</v>
      </c>
      <c r="C33" s="102"/>
      <c r="D33" s="102"/>
      <c r="E33" s="102"/>
      <c r="F33" s="102"/>
      <c r="G33" s="116">
        <f>G32*1.2</f>
        <v>993921.8380799999</v>
      </c>
      <c r="H33" s="117"/>
      <c r="I33" s="22"/>
      <c r="J33" s="21"/>
      <c r="K33" s="101" t="s">
        <v>240</v>
      </c>
      <c r="L33" s="102"/>
      <c r="M33" s="102"/>
      <c r="N33" s="102"/>
      <c r="O33" s="102"/>
      <c r="P33" s="282">
        <f>P32*1.2</f>
        <v>964963.40831999993</v>
      </c>
      <c r="Q33" s="283"/>
      <c r="R33" s="23"/>
    </row>
    <row r="34" spans="1:18" ht="15.75" customHeight="1" thickBot="1" x14ac:dyDescent="0.3">
      <c r="A34" s="24"/>
      <c r="B34" s="96" t="s">
        <v>443</v>
      </c>
      <c r="C34" s="97"/>
      <c r="D34" s="97"/>
      <c r="E34" s="97"/>
      <c r="F34" s="97"/>
      <c r="G34" s="98">
        <v>995050.64</v>
      </c>
      <c r="H34" s="99"/>
      <c r="I34" s="100"/>
      <c r="J34" s="24"/>
      <c r="K34" s="96" t="s">
        <v>443</v>
      </c>
      <c r="L34" s="97"/>
      <c r="M34" s="97"/>
      <c r="N34" s="97"/>
      <c r="O34" s="97"/>
      <c r="P34" s="98">
        <v>965869.7</v>
      </c>
      <c r="Q34" s="99"/>
      <c r="R34" s="100"/>
    </row>
    <row r="35" spans="1:18" ht="15.75" customHeight="1" thickBot="1" x14ac:dyDescent="0.3">
      <c r="A35" s="19"/>
      <c r="B35" s="101" t="s">
        <v>242</v>
      </c>
      <c r="C35" s="102"/>
      <c r="D35" s="102"/>
      <c r="E35" s="102"/>
      <c r="F35" s="102"/>
      <c r="G35" s="103">
        <v>980801.62</v>
      </c>
      <c r="H35" s="104"/>
      <c r="I35" s="105"/>
      <c r="J35" s="19"/>
      <c r="K35" s="101" t="s">
        <v>242</v>
      </c>
      <c r="L35" s="102"/>
      <c r="M35" s="102"/>
      <c r="N35" s="102"/>
      <c r="O35" s="102"/>
      <c r="P35" s="103">
        <v>1010948.07</v>
      </c>
      <c r="Q35" s="104"/>
      <c r="R35" s="105"/>
    </row>
    <row r="36" spans="1:18" ht="15.75" customHeight="1" thickBot="1" x14ac:dyDescent="0.3">
      <c r="A36" s="19"/>
      <c r="B36" s="106" t="s">
        <v>444</v>
      </c>
      <c r="C36" s="107"/>
      <c r="D36" s="107"/>
      <c r="E36" s="107"/>
      <c r="F36" s="107"/>
      <c r="G36" s="103">
        <v>302527.14</v>
      </c>
      <c r="H36" s="104"/>
      <c r="I36" s="105"/>
      <c r="J36" s="19"/>
      <c r="K36" s="106" t="s">
        <v>444</v>
      </c>
      <c r="L36" s="107"/>
      <c r="M36" s="107"/>
      <c r="N36" s="107"/>
      <c r="O36" s="107"/>
      <c r="P36" s="103">
        <v>190725.66</v>
      </c>
      <c r="Q36" s="104"/>
      <c r="R36" s="105"/>
    </row>
    <row r="37" spans="1:18" ht="30" customHeight="1" x14ac:dyDescent="0.25">
      <c r="A37" s="4"/>
      <c r="B37" s="280"/>
      <c r="C37" s="280"/>
      <c r="D37" s="280"/>
      <c r="E37" s="280"/>
      <c r="F37" s="280"/>
      <c r="G37" s="280"/>
      <c r="H37" s="280"/>
      <c r="I37" s="280"/>
      <c r="J37" s="4"/>
      <c r="K37" s="26"/>
      <c r="L37" s="26"/>
      <c r="M37" s="26"/>
      <c r="N37" s="26"/>
      <c r="O37" s="26"/>
      <c r="P37" s="27"/>
      <c r="Q37" s="3"/>
      <c r="R37" s="3"/>
    </row>
    <row r="38" spans="1:18" ht="38.25" customHeight="1" x14ac:dyDescent="0.25">
      <c r="I38" s="5"/>
      <c r="K38" s="281"/>
      <c r="L38" s="281"/>
      <c r="M38" s="281"/>
      <c r="N38" s="281"/>
      <c r="O38" s="281"/>
      <c r="P38" s="281"/>
      <c r="Q38" s="281"/>
      <c r="R38" s="281"/>
    </row>
    <row r="39" spans="1:18" ht="30" customHeight="1" x14ac:dyDescent="0.25">
      <c r="A39" s="3"/>
      <c r="B39" s="3"/>
      <c r="C39" s="3"/>
      <c r="D39" s="3"/>
      <c r="E39" s="4" t="s">
        <v>204</v>
      </c>
      <c r="F39" s="3"/>
      <c r="G39" s="3"/>
      <c r="H39" s="3"/>
      <c r="I39" s="3"/>
      <c r="J39" s="3"/>
      <c r="R39" s="5"/>
    </row>
    <row r="40" spans="1:18" x14ac:dyDescent="0.25">
      <c r="A40" s="3"/>
      <c r="B40" s="3"/>
      <c r="C40" s="3"/>
      <c r="D40" s="3" t="s">
        <v>687</v>
      </c>
      <c r="E40" s="3"/>
      <c r="F40" s="3"/>
      <c r="G40" s="3"/>
      <c r="H40" s="3"/>
      <c r="I40" s="3"/>
      <c r="J40" s="3"/>
    </row>
    <row r="41" spans="1:18" x14ac:dyDescent="0.25">
      <c r="A41" s="3"/>
      <c r="B41" s="5" t="s">
        <v>440</v>
      </c>
      <c r="C41" s="3"/>
      <c r="D41" s="3"/>
      <c r="E41" s="3"/>
      <c r="F41" s="3"/>
      <c r="G41" s="3"/>
      <c r="H41" s="3"/>
      <c r="I41" s="3"/>
      <c r="J41" s="3"/>
      <c r="K41" s="3"/>
      <c r="L41" s="3"/>
      <c r="M41" s="3"/>
      <c r="N41" s="4" t="s">
        <v>204</v>
      </c>
      <c r="O41" s="3"/>
      <c r="P41" s="3"/>
      <c r="Q41" s="3"/>
      <c r="R41" s="3"/>
    </row>
    <row r="42" spans="1:18" x14ac:dyDescent="0.25">
      <c r="A42" s="3" t="s">
        <v>205</v>
      </c>
      <c r="B42" s="5" t="s">
        <v>206</v>
      </c>
      <c r="C42" s="3"/>
      <c r="D42" s="3"/>
      <c r="E42" s="3"/>
      <c r="F42" s="3">
        <v>5358.5</v>
      </c>
      <c r="G42" s="3" t="s">
        <v>207</v>
      </c>
      <c r="H42" s="3"/>
      <c r="I42" s="3"/>
      <c r="J42" s="3"/>
      <c r="K42" s="3"/>
      <c r="L42" s="3"/>
      <c r="M42" s="3" t="s">
        <v>688</v>
      </c>
      <c r="N42" s="3"/>
      <c r="O42" s="3"/>
      <c r="P42" s="3"/>
      <c r="Q42" s="3"/>
      <c r="R42" s="3"/>
    </row>
    <row r="43" spans="1:18" ht="23.25" customHeight="1" thickBot="1" x14ac:dyDescent="0.3">
      <c r="A43" s="3"/>
      <c r="B43" s="3"/>
      <c r="C43" s="3"/>
      <c r="D43" s="3"/>
      <c r="E43" s="3"/>
      <c r="F43" s="3"/>
      <c r="G43" s="3"/>
      <c r="H43" s="3"/>
      <c r="I43" s="3"/>
      <c r="J43" s="3"/>
      <c r="K43" s="5" t="s">
        <v>440</v>
      </c>
      <c r="L43" s="3"/>
      <c r="M43" s="3"/>
      <c r="N43" s="3"/>
      <c r="O43" s="3"/>
      <c r="P43" s="3"/>
      <c r="Q43" s="3"/>
      <c r="R43" s="3"/>
    </row>
    <row r="44" spans="1:18" ht="60" customHeight="1" x14ac:dyDescent="0.25">
      <c r="A44" s="3"/>
      <c r="B44" s="177" t="s">
        <v>210</v>
      </c>
      <c r="C44" s="178"/>
      <c r="D44" s="178"/>
      <c r="E44" s="178"/>
      <c r="F44" s="178"/>
      <c r="G44" s="180" t="s">
        <v>441</v>
      </c>
      <c r="H44" s="181"/>
      <c r="I44" s="175" t="s">
        <v>212</v>
      </c>
      <c r="J44" s="175" t="s">
        <v>209</v>
      </c>
      <c r="K44" s="5" t="s">
        <v>206</v>
      </c>
      <c r="L44" s="3"/>
      <c r="M44" s="3"/>
      <c r="N44" s="3"/>
      <c r="O44" s="3">
        <v>6785.1</v>
      </c>
      <c r="P44" s="3" t="s">
        <v>207</v>
      </c>
      <c r="Q44" s="3"/>
      <c r="R44" s="3"/>
    </row>
    <row r="45" spans="1:18" ht="1.5" customHeight="1" thickBot="1" x14ac:dyDescent="0.3">
      <c r="A45" s="3"/>
      <c r="B45" s="179"/>
      <c r="C45" s="179"/>
      <c r="D45" s="179"/>
      <c r="E45" s="179"/>
      <c r="F45" s="179"/>
      <c r="G45" s="182"/>
      <c r="H45" s="183"/>
      <c r="I45" s="184"/>
      <c r="J45" s="267"/>
      <c r="K45" s="3"/>
      <c r="L45" s="3"/>
      <c r="M45" s="3"/>
      <c r="N45" s="3"/>
      <c r="O45" s="3"/>
      <c r="P45" s="3"/>
      <c r="Q45" s="3"/>
      <c r="R45" s="3"/>
    </row>
    <row r="46" spans="1:18" ht="22.5" customHeight="1" x14ac:dyDescent="0.25">
      <c r="A46" s="175" t="s">
        <v>209</v>
      </c>
      <c r="B46" s="187" t="s">
        <v>354</v>
      </c>
      <c r="C46" s="188"/>
      <c r="D46" s="188"/>
      <c r="E46" s="188"/>
      <c r="F46" s="188"/>
      <c r="G46" s="190">
        <v>195303.48</v>
      </c>
      <c r="H46" s="191"/>
      <c r="I46" s="192"/>
      <c r="J46" s="185" t="s">
        <v>213</v>
      </c>
      <c r="K46" s="180" t="s">
        <v>210</v>
      </c>
      <c r="L46" s="177"/>
      <c r="M46" s="177"/>
      <c r="N46" s="177"/>
      <c r="O46" s="263"/>
      <c r="P46" s="180" t="s">
        <v>441</v>
      </c>
      <c r="Q46" s="263"/>
      <c r="R46" s="175" t="s">
        <v>212</v>
      </c>
    </row>
    <row r="47" spans="1:18" ht="27" customHeight="1" thickBot="1" x14ac:dyDescent="0.3">
      <c r="A47" s="176"/>
      <c r="B47" s="189"/>
      <c r="C47" s="189"/>
      <c r="D47" s="189"/>
      <c r="E47" s="189"/>
      <c r="F47" s="189"/>
      <c r="G47" s="193"/>
      <c r="H47" s="194"/>
      <c r="I47" s="128"/>
      <c r="J47" s="268"/>
      <c r="K47" s="264"/>
      <c r="L47" s="265"/>
      <c r="M47" s="265"/>
      <c r="N47" s="265"/>
      <c r="O47" s="266"/>
      <c r="P47" s="264"/>
      <c r="Q47" s="266"/>
      <c r="R47" s="267"/>
    </row>
    <row r="48" spans="1:18" ht="15" customHeight="1" x14ac:dyDescent="0.25">
      <c r="A48" s="185" t="s">
        <v>213</v>
      </c>
      <c r="B48" s="161" t="s">
        <v>214</v>
      </c>
      <c r="C48" s="162"/>
      <c r="D48" s="162"/>
      <c r="E48" s="162"/>
      <c r="F48" s="162"/>
      <c r="G48" s="163">
        <f>2.34*F42*12</f>
        <v>150466.68</v>
      </c>
      <c r="H48" s="164"/>
      <c r="I48" s="169" t="s">
        <v>215</v>
      </c>
      <c r="J48" s="6"/>
      <c r="K48" s="269" t="s">
        <v>354</v>
      </c>
      <c r="L48" s="187"/>
      <c r="M48" s="187"/>
      <c r="N48" s="187"/>
      <c r="O48" s="270"/>
      <c r="P48" s="274">
        <v>84203.11</v>
      </c>
      <c r="Q48" s="275"/>
      <c r="R48" s="276"/>
    </row>
    <row r="49" spans="1:18" ht="15.75" thickBot="1" x14ac:dyDescent="0.3">
      <c r="A49" s="186"/>
      <c r="B49" s="171" t="s">
        <v>216</v>
      </c>
      <c r="C49" s="172"/>
      <c r="D49" s="172"/>
      <c r="E49" s="172"/>
      <c r="F49" s="172"/>
      <c r="G49" s="165"/>
      <c r="H49" s="166"/>
      <c r="I49" s="170"/>
      <c r="J49" s="7"/>
      <c r="K49" s="271"/>
      <c r="L49" s="272"/>
      <c r="M49" s="272"/>
      <c r="N49" s="272"/>
      <c r="O49" s="273"/>
      <c r="P49" s="277"/>
      <c r="Q49" s="278"/>
      <c r="R49" s="279"/>
    </row>
    <row r="50" spans="1:18" ht="15.75" customHeight="1" thickBot="1" x14ac:dyDescent="0.3">
      <c r="A50" s="6"/>
      <c r="B50" s="173" t="s">
        <v>217</v>
      </c>
      <c r="C50" s="174"/>
      <c r="D50" s="174"/>
      <c r="E50" s="174"/>
      <c r="F50" s="174"/>
      <c r="G50" s="167"/>
      <c r="H50" s="168"/>
      <c r="I50" s="8" t="s">
        <v>218</v>
      </c>
      <c r="J50" s="7"/>
      <c r="K50" s="145" t="s">
        <v>214</v>
      </c>
      <c r="L50" s="146"/>
      <c r="M50" s="146"/>
      <c r="N50" s="146"/>
      <c r="O50" s="215"/>
      <c r="P50" s="163">
        <f>1.47*O44*12</f>
        <v>119689.16399999999</v>
      </c>
      <c r="Q50" s="252"/>
      <c r="R50" s="169" t="s">
        <v>215</v>
      </c>
    </row>
    <row r="51" spans="1:18" ht="34.5" customHeight="1" thickBot="1" x14ac:dyDescent="0.3">
      <c r="A51" s="7"/>
      <c r="B51" s="141" t="s">
        <v>219</v>
      </c>
      <c r="C51" s="142"/>
      <c r="D51" s="142"/>
      <c r="E51" s="142"/>
      <c r="F51" s="142"/>
      <c r="G51" s="143">
        <v>0</v>
      </c>
      <c r="H51" s="144"/>
      <c r="I51" s="8" t="s">
        <v>220</v>
      </c>
      <c r="J51" s="7"/>
      <c r="K51" s="258" t="s">
        <v>216</v>
      </c>
      <c r="L51" s="259"/>
      <c r="M51" s="259"/>
      <c r="N51" s="259"/>
      <c r="O51" s="260"/>
      <c r="P51" s="253"/>
      <c r="Q51" s="254"/>
      <c r="R51" s="257"/>
    </row>
    <row r="52" spans="1:18" ht="15.75" customHeight="1" thickBot="1" x14ac:dyDescent="0.3">
      <c r="A52" s="7"/>
      <c r="B52" s="141" t="s">
        <v>221</v>
      </c>
      <c r="C52" s="142"/>
      <c r="D52" s="142"/>
      <c r="E52" s="142"/>
      <c r="F52" s="142"/>
      <c r="G52" s="143">
        <f>0.474*F42*12</f>
        <v>30479.148000000001</v>
      </c>
      <c r="H52" s="144"/>
      <c r="I52" s="8" t="s">
        <v>222</v>
      </c>
      <c r="J52" s="7"/>
      <c r="K52" s="173" t="s">
        <v>217</v>
      </c>
      <c r="L52" s="261"/>
      <c r="M52" s="261"/>
      <c r="N52" s="261"/>
      <c r="O52" s="262"/>
      <c r="P52" s="255"/>
      <c r="Q52" s="256"/>
      <c r="R52" s="8" t="s">
        <v>218</v>
      </c>
    </row>
    <row r="53" spans="1:18" ht="15.75" customHeight="1" thickBot="1" x14ac:dyDescent="0.3">
      <c r="A53" s="7"/>
      <c r="B53" s="145" t="s">
        <v>223</v>
      </c>
      <c r="C53" s="146"/>
      <c r="D53" s="146"/>
      <c r="E53" s="146"/>
      <c r="F53" s="146"/>
      <c r="G53" s="86">
        <f>2.29*F42*12</f>
        <v>147251.58000000002</v>
      </c>
      <c r="H53" s="147"/>
      <c r="I53" s="152" t="s">
        <v>224</v>
      </c>
      <c r="J53" s="9"/>
      <c r="K53" s="233" t="s">
        <v>219</v>
      </c>
      <c r="L53" s="234"/>
      <c r="M53" s="234"/>
      <c r="N53" s="234"/>
      <c r="O53" s="235"/>
      <c r="P53" s="250">
        <f>1748.85*3*12</f>
        <v>62958.599999999991</v>
      </c>
      <c r="Q53" s="251"/>
      <c r="R53" s="8" t="s">
        <v>220</v>
      </c>
    </row>
    <row r="54" spans="1:18" ht="16.5" customHeight="1" thickBot="1" x14ac:dyDescent="0.3">
      <c r="A54" s="7"/>
      <c r="B54" s="155" t="s">
        <v>226</v>
      </c>
      <c r="C54" s="156"/>
      <c r="D54" s="156"/>
      <c r="E54" s="156"/>
      <c r="F54" s="156"/>
      <c r="G54" s="148"/>
      <c r="H54" s="149"/>
      <c r="I54" s="153"/>
      <c r="J54" s="10"/>
      <c r="K54" s="233" t="s">
        <v>221</v>
      </c>
      <c r="L54" s="234"/>
      <c r="M54" s="234"/>
      <c r="N54" s="234"/>
      <c r="O54" s="235"/>
      <c r="P54" s="250">
        <f>0.474*O44*12</f>
        <v>38593.648800000003</v>
      </c>
      <c r="Q54" s="251"/>
      <c r="R54" s="8" t="s">
        <v>222</v>
      </c>
    </row>
    <row r="55" spans="1:18" ht="15.75" customHeight="1" thickBot="1" x14ac:dyDescent="0.3">
      <c r="A55" s="9"/>
      <c r="B55" s="157" t="s">
        <v>227</v>
      </c>
      <c r="C55" s="158"/>
      <c r="D55" s="158"/>
      <c r="E55" s="158"/>
      <c r="F55" s="158"/>
      <c r="G55" s="148"/>
      <c r="H55" s="149"/>
      <c r="I55" s="154"/>
      <c r="J55" s="10"/>
      <c r="K55" s="145" t="s">
        <v>223</v>
      </c>
      <c r="L55" s="146"/>
      <c r="M55" s="146"/>
      <c r="N55" s="146"/>
      <c r="O55" s="215"/>
      <c r="P55" s="86">
        <f>1.99*O44*12</f>
        <v>162028.18799999999</v>
      </c>
      <c r="Q55" s="216"/>
      <c r="R55" s="152" t="s">
        <v>224</v>
      </c>
    </row>
    <row r="56" spans="1:18" ht="15.75" thickBot="1" x14ac:dyDescent="0.3">
      <c r="A56" s="10"/>
      <c r="B56" s="159" t="s">
        <v>228</v>
      </c>
      <c r="C56" s="160"/>
      <c r="D56" s="160"/>
      <c r="E56" s="160"/>
      <c r="F56" s="160"/>
      <c r="G56" s="150"/>
      <c r="H56" s="151"/>
      <c r="I56" s="11" t="s">
        <v>229</v>
      </c>
      <c r="J56" s="10"/>
      <c r="K56" s="155" t="s">
        <v>226</v>
      </c>
      <c r="L56" s="156"/>
      <c r="M56" s="156"/>
      <c r="N56" s="156"/>
      <c r="O56" s="229"/>
      <c r="P56" s="237"/>
      <c r="Q56" s="238"/>
      <c r="R56" s="244"/>
    </row>
    <row r="57" spans="1:18" ht="15.75" customHeight="1" thickBot="1" x14ac:dyDescent="0.3">
      <c r="A57" s="10"/>
      <c r="B57" s="125" t="s">
        <v>230</v>
      </c>
      <c r="C57" s="126"/>
      <c r="D57" s="126"/>
      <c r="E57" s="126"/>
      <c r="F57" s="126"/>
      <c r="G57" s="86">
        <f>0.048*F42*12</f>
        <v>3086.4960000000001</v>
      </c>
      <c r="H57" s="87"/>
      <c r="I57" s="129" t="s">
        <v>220</v>
      </c>
      <c r="J57" s="12"/>
      <c r="K57" s="157" t="s">
        <v>227</v>
      </c>
      <c r="L57" s="158"/>
      <c r="M57" s="158"/>
      <c r="N57" s="158"/>
      <c r="O57" s="220"/>
      <c r="P57" s="237"/>
      <c r="Q57" s="238"/>
      <c r="R57" s="245"/>
    </row>
    <row r="58" spans="1:18" ht="15.75" customHeight="1" thickBot="1" x14ac:dyDescent="0.3">
      <c r="A58" s="10"/>
      <c r="B58" s="131" t="s">
        <v>231</v>
      </c>
      <c r="C58" s="132"/>
      <c r="D58" s="132"/>
      <c r="E58" s="132"/>
      <c r="F58" s="132"/>
      <c r="G58" s="127"/>
      <c r="H58" s="128"/>
      <c r="I58" s="130"/>
      <c r="J58" s="7"/>
      <c r="K58" s="159" t="s">
        <v>228</v>
      </c>
      <c r="L58" s="160"/>
      <c r="M58" s="160"/>
      <c r="N58" s="160"/>
      <c r="O58" s="246"/>
      <c r="P58" s="217"/>
      <c r="Q58" s="218"/>
      <c r="R58" s="11" t="s">
        <v>229</v>
      </c>
    </row>
    <row r="59" spans="1:18" ht="30.75" customHeight="1" thickBot="1" x14ac:dyDescent="0.3">
      <c r="A59" s="12"/>
      <c r="B59" s="133" t="s">
        <v>232</v>
      </c>
      <c r="C59" s="134"/>
      <c r="D59" s="134"/>
      <c r="E59" s="134"/>
      <c r="F59" s="134"/>
      <c r="G59" s="135"/>
      <c r="H59" s="136"/>
      <c r="I59" s="14"/>
      <c r="J59" s="13"/>
      <c r="K59" s="247" t="s">
        <v>230</v>
      </c>
      <c r="L59" s="248"/>
      <c r="M59" s="248"/>
      <c r="N59" s="248"/>
      <c r="O59" s="249"/>
      <c r="P59" s="86">
        <f>0.048*O44*12</f>
        <v>3908.2176000000009</v>
      </c>
      <c r="Q59" s="216"/>
      <c r="R59" s="129" t="s">
        <v>220</v>
      </c>
    </row>
    <row r="60" spans="1:18" ht="34.5" customHeight="1" thickBot="1" x14ac:dyDescent="0.3">
      <c r="A60" s="7"/>
      <c r="B60" s="84" t="s">
        <v>233</v>
      </c>
      <c r="C60" s="85"/>
      <c r="D60" s="85"/>
      <c r="E60" s="85"/>
      <c r="F60" s="85"/>
      <c r="G60" s="86">
        <f>1.64*F42*12</f>
        <v>105455.27999999998</v>
      </c>
      <c r="H60" s="87"/>
      <c r="I60" s="92" t="s">
        <v>452</v>
      </c>
      <c r="J60" s="13"/>
      <c r="K60" s="157" t="s">
        <v>231</v>
      </c>
      <c r="L60" s="158"/>
      <c r="M60" s="158"/>
      <c r="N60" s="158"/>
      <c r="O60" s="220"/>
      <c r="P60" s="217"/>
      <c r="Q60" s="218"/>
      <c r="R60" s="241"/>
    </row>
    <row r="61" spans="1:18" ht="36.75" customHeight="1" thickBot="1" x14ac:dyDescent="0.3">
      <c r="A61" s="13"/>
      <c r="B61" s="121" t="s">
        <v>226</v>
      </c>
      <c r="C61" s="122"/>
      <c r="D61" s="122"/>
      <c r="E61" s="122"/>
      <c r="F61" s="122"/>
      <c r="G61" s="88"/>
      <c r="H61" s="89"/>
      <c r="I61" s="93"/>
      <c r="J61" s="118"/>
      <c r="K61" s="242" t="s">
        <v>232</v>
      </c>
      <c r="L61" s="133"/>
      <c r="M61" s="133"/>
      <c r="N61" s="133"/>
      <c r="O61" s="205"/>
      <c r="P61" s="135"/>
      <c r="Q61" s="243"/>
      <c r="R61" s="14"/>
    </row>
    <row r="62" spans="1:18" ht="49.5" customHeight="1" thickBot="1" x14ac:dyDescent="0.3">
      <c r="A62" s="13"/>
      <c r="B62" s="121" t="s">
        <v>227</v>
      </c>
      <c r="C62" s="122"/>
      <c r="D62" s="122"/>
      <c r="E62" s="122"/>
      <c r="F62" s="122"/>
      <c r="G62" s="88"/>
      <c r="H62" s="89"/>
      <c r="I62" s="93"/>
      <c r="J62" s="226"/>
      <c r="K62" s="236" t="s">
        <v>233</v>
      </c>
      <c r="L62" s="146"/>
      <c r="M62" s="146"/>
      <c r="N62" s="146"/>
      <c r="O62" s="215"/>
      <c r="P62" s="86">
        <f>1.22*12*O44</f>
        <v>99333.864000000016</v>
      </c>
      <c r="Q62" s="216"/>
      <c r="R62" s="92" t="s">
        <v>449</v>
      </c>
    </row>
    <row r="63" spans="1:18" ht="16.5" customHeight="1" x14ac:dyDescent="0.25">
      <c r="A63" s="118"/>
      <c r="B63" s="121" t="s">
        <v>228</v>
      </c>
      <c r="C63" s="122"/>
      <c r="D63" s="122"/>
      <c r="E63" s="122"/>
      <c r="F63" s="122"/>
      <c r="G63" s="88"/>
      <c r="H63" s="89"/>
      <c r="I63" s="93"/>
      <c r="J63" s="226"/>
      <c r="K63" s="228" t="s">
        <v>226</v>
      </c>
      <c r="L63" s="156"/>
      <c r="M63" s="156"/>
      <c r="N63" s="156"/>
      <c r="O63" s="229"/>
      <c r="P63" s="237"/>
      <c r="Q63" s="238"/>
      <c r="R63" s="239"/>
    </row>
    <row r="64" spans="1:18" ht="15.75" customHeight="1" thickBot="1" x14ac:dyDescent="0.3">
      <c r="A64" s="119"/>
      <c r="B64" s="123" t="s">
        <v>234</v>
      </c>
      <c r="C64" s="124"/>
      <c r="D64" s="124"/>
      <c r="E64" s="124"/>
      <c r="F64" s="124"/>
      <c r="G64" s="90"/>
      <c r="H64" s="91"/>
      <c r="I64" s="94"/>
      <c r="J64" s="227"/>
      <c r="K64" s="228" t="s">
        <v>227</v>
      </c>
      <c r="L64" s="156"/>
      <c r="M64" s="156"/>
      <c r="N64" s="156"/>
      <c r="O64" s="229"/>
      <c r="P64" s="237"/>
      <c r="Q64" s="238"/>
      <c r="R64" s="239"/>
    </row>
    <row r="65" spans="1:18" ht="37.5" customHeight="1" thickBot="1" x14ac:dyDescent="0.3">
      <c r="A65" s="119"/>
      <c r="B65" s="137"/>
      <c r="C65" s="138"/>
      <c r="D65" s="138"/>
      <c r="E65" s="138"/>
      <c r="F65" s="138"/>
      <c r="G65" s="139"/>
      <c r="H65" s="140"/>
      <c r="I65" s="16"/>
      <c r="J65" s="15"/>
      <c r="K65" s="228" t="s">
        <v>228</v>
      </c>
      <c r="L65" s="156"/>
      <c r="M65" s="156"/>
      <c r="N65" s="156"/>
      <c r="O65" s="229"/>
      <c r="P65" s="237"/>
      <c r="Q65" s="238"/>
      <c r="R65" s="239"/>
    </row>
    <row r="66" spans="1:18" ht="29.25" customHeight="1" thickBot="1" x14ac:dyDescent="0.3">
      <c r="A66" s="120"/>
      <c r="B66" s="137" t="s">
        <v>235</v>
      </c>
      <c r="C66" s="138"/>
      <c r="D66" s="138"/>
      <c r="E66" s="138"/>
      <c r="F66" s="138"/>
      <c r="G66" s="139"/>
      <c r="H66" s="140"/>
      <c r="I66" s="16"/>
      <c r="J66" s="15"/>
      <c r="K66" s="230" t="s">
        <v>234</v>
      </c>
      <c r="L66" s="231"/>
      <c r="M66" s="231"/>
      <c r="N66" s="231"/>
      <c r="O66" s="232"/>
      <c r="P66" s="217"/>
      <c r="Q66" s="218"/>
      <c r="R66" s="240"/>
    </row>
    <row r="67" spans="1:18" ht="15.75" thickBot="1" x14ac:dyDescent="0.3">
      <c r="A67" s="15"/>
      <c r="B67" s="78" t="s">
        <v>237</v>
      </c>
      <c r="C67" s="79"/>
      <c r="D67" s="79"/>
      <c r="E67" s="79"/>
      <c r="F67" s="79"/>
      <c r="G67" s="86">
        <v>31143</v>
      </c>
      <c r="H67" s="87"/>
      <c r="I67" s="108" t="s">
        <v>229</v>
      </c>
      <c r="J67" s="17"/>
      <c r="K67" s="221"/>
      <c r="L67" s="222"/>
      <c r="M67" s="222"/>
      <c r="N67" s="222"/>
      <c r="O67" s="223"/>
      <c r="P67" s="224"/>
      <c r="Q67" s="225"/>
      <c r="R67" s="16"/>
    </row>
    <row r="68" spans="1:18" ht="30.75" customHeight="1" thickBot="1" x14ac:dyDescent="0.3">
      <c r="A68" s="15"/>
      <c r="B68" s="110" t="s">
        <v>238</v>
      </c>
      <c r="C68" s="111"/>
      <c r="D68" s="111"/>
      <c r="E68" s="111"/>
      <c r="F68" s="111"/>
      <c r="G68" s="90"/>
      <c r="H68" s="91"/>
      <c r="I68" s="109"/>
      <c r="J68" s="18"/>
      <c r="K68" s="221" t="s">
        <v>235</v>
      </c>
      <c r="L68" s="222"/>
      <c r="M68" s="222"/>
      <c r="N68" s="222"/>
      <c r="O68" s="223"/>
      <c r="P68" s="224"/>
      <c r="Q68" s="225"/>
      <c r="R68" s="16"/>
    </row>
    <row r="69" spans="1:18" ht="30" customHeight="1" thickBot="1" x14ac:dyDescent="0.3">
      <c r="A69" s="17"/>
      <c r="B69" s="112" t="s">
        <v>239</v>
      </c>
      <c r="C69" s="113"/>
      <c r="D69" s="113"/>
      <c r="E69" s="113"/>
      <c r="F69" s="113"/>
      <c r="G69" s="114">
        <f>G48+G52+G53+G57+G60+G66+G67</f>
        <v>467882.18399999995</v>
      </c>
      <c r="H69" s="115"/>
      <c r="I69" s="20"/>
      <c r="J69" s="19"/>
      <c r="K69" s="145" t="s">
        <v>237</v>
      </c>
      <c r="L69" s="146"/>
      <c r="M69" s="146"/>
      <c r="N69" s="146"/>
      <c r="O69" s="215"/>
      <c r="P69" s="86">
        <f>7478+18583</f>
        <v>26061</v>
      </c>
      <c r="Q69" s="216"/>
      <c r="R69" s="108" t="s">
        <v>229</v>
      </c>
    </row>
    <row r="70" spans="1:18" ht="15.75" thickBot="1" x14ac:dyDescent="0.3">
      <c r="A70" s="18"/>
      <c r="B70" s="101" t="s">
        <v>240</v>
      </c>
      <c r="C70" s="102"/>
      <c r="D70" s="102"/>
      <c r="E70" s="102"/>
      <c r="F70" s="102"/>
      <c r="G70" s="116">
        <f>G69*1.2</f>
        <v>561458.62079999992</v>
      </c>
      <c r="H70" s="117"/>
      <c r="I70" s="22"/>
      <c r="J70" s="21"/>
      <c r="K70" s="157" t="s">
        <v>238</v>
      </c>
      <c r="L70" s="158"/>
      <c r="M70" s="158"/>
      <c r="N70" s="158"/>
      <c r="O70" s="220"/>
      <c r="P70" s="217"/>
      <c r="Q70" s="218"/>
      <c r="R70" s="219"/>
    </row>
    <row r="71" spans="1:18" ht="15.75" thickBot="1" x14ac:dyDescent="0.3">
      <c r="A71" s="19"/>
      <c r="B71" s="96" t="s">
        <v>443</v>
      </c>
      <c r="C71" s="97"/>
      <c r="D71" s="97"/>
      <c r="E71" s="97"/>
      <c r="F71" s="97"/>
      <c r="G71" s="98">
        <v>596623.43000000005</v>
      </c>
      <c r="H71" s="99"/>
      <c r="I71" s="100"/>
      <c r="J71" s="24"/>
      <c r="K71" s="209" t="s">
        <v>239</v>
      </c>
      <c r="L71" s="210"/>
      <c r="M71" s="210"/>
      <c r="N71" s="210"/>
      <c r="O71" s="211"/>
      <c r="P71" s="212">
        <f>P50+P53+P54+P55+P59+P62+P68+P69</f>
        <v>512572.68239999993</v>
      </c>
      <c r="Q71" s="213"/>
      <c r="R71" s="20"/>
    </row>
    <row r="72" spans="1:18" ht="15.75" thickBot="1" x14ac:dyDescent="0.3">
      <c r="A72" s="21"/>
      <c r="B72" s="101" t="s">
        <v>242</v>
      </c>
      <c r="C72" s="102"/>
      <c r="D72" s="102"/>
      <c r="E72" s="102"/>
      <c r="F72" s="102"/>
      <c r="G72" s="103">
        <v>618207.77</v>
      </c>
      <c r="H72" s="104"/>
      <c r="I72" s="105"/>
      <c r="J72" s="19"/>
      <c r="K72" s="106" t="s">
        <v>240</v>
      </c>
      <c r="L72" s="107"/>
      <c r="M72" s="107"/>
      <c r="N72" s="107"/>
      <c r="O72" s="208"/>
      <c r="P72" s="116">
        <f>P71*1.2</f>
        <v>615087.21887999994</v>
      </c>
      <c r="Q72" s="214"/>
      <c r="R72" s="22"/>
    </row>
    <row r="73" spans="1:18" ht="15.75" customHeight="1" thickBot="1" x14ac:dyDescent="0.3">
      <c r="A73" s="24"/>
      <c r="B73" s="28" t="s">
        <v>444</v>
      </c>
      <c r="C73" s="29"/>
      <c r="D73" s="29"/>
      <c r="E73" s="29"/>
      <c r="F73" s="29"/>
      <c r="G73" s="103">
        <v>173719.14</v>
      </c>
      <c r="H73" s="104"/>
      <c r="I73" s="105"/>
      <c r="J73" s="19"/>
      <c r="K73" s="96" t="s">
        <v>443</v>
      </c>
      <c r="L73" s="133"/>
      <c r="M73" s="133"/>
      <c r="N73" s="133"/>
      <c r="O73" s="205"/>
      <c r="P73" s="98">
        <v>635097.51</v>
      </c>
      <c r="Q73" s="206"/>
      <c r="R73" s="207"/>
    </row>
    <row r="74" spans="1:18" ht="16.5" thickBot="1" x14ac:dyDescent="0.3">
      <c r="A74" s="4"/>
      <c r="B74" s="202"/>
      <c r="C74" s="202"/>
      <c r="D74" s="202"/>
      <c r="E74" s="202"/>
      <c r="F74" s="202"/>
      <c r="G74" s="202"/>
      <c r="H74" s="202"/>
      <c r="I74" s="202"/>
      <c r="J74" s="1"/>
      <c r="K74" s="106" t="s">
        <v>242</v>
      </c>
      <c r="L74" s="107"/>
      <c r="M74" s="107"/>
      <c r="N74" s="107"/>
      <c r="O74" s="208"/>
      <c r="P74" s="103">
        <v>611275.49</v>
      </c>
      <c r="Q74" s="104"/>
      <c r="R74" s="105"/>
    </row>
    <row r="75" spans="1:18" ht="19.5" customHeight="1" thickBot="1" x14ac:dyDescent="0.3">
      <c r="A75" s="4"/>
      <c r="I75" s="5"/>
      <c r="J75" s="3"/>
      <c r="K75" s="106" t="s">
        <v>444</v>
      </c>
      <c r="L75" s="107"/>
      <c r="M75" s="107"/>
      <c r="N75" s="107"/>
      <c r="O75" s="107"/>
      <c r="P75" s="103">
        <v>108025.13</v>
      </c>
      <c r="Q75" s="104"/>
      <c r="R75" s="105"/>
    </row>
    <row r="76" spans="1:18" s="1" customFormat="1" ht="43.5" customHeight="1" x14ac:dyDescent="0.25">
      <c r="B76"/>
      <c r="C76"/>
      <c r="D76"/>
      <c r="E76"/>
      <c r="F76"/>
      <c r="G76"/>
      <c r="H76"/>
      <c r="I76" s="5"/>
      <c r="J76"/>
      <c r="K76" s="203"/>
      <c r="L76" s="204"/>
      <c r="M76" s="204"/>
      <c r="N76" s="204"/>
      <c r="O76" s="204"/>
      <c r="P76" s="204"/>
      <c r="Q76" s="204"/>
      <c r="R76" s="204"/>
    </row>
    <row r="77" spans="1:18" ht="15.75" customHeight="1" x14ac:dyDescent="0.25">
      <c r="A77" s="3"/>
      <c r="C77" s="30"/>
      <c r="I77" s="5"/>
      <c r="R77" s="5"/>
    </row>
    <row r="78" spans="1:18" ht="15.75" customHeight="1" x14ac:dyDescent="0.25">
      <c r="A78" s="3"/>
      <c r="C78" s="30"/>
      <c r="I78" s="5"/>
    </row>
    <row r="79" spans="1:18" ht="15.75" x14ac:dyDescent="0.25">
      <c r="C79" s="30"/>
      <c r="I79" s="5"/>
    </row>
    <row r="80" spans="1:18" ht="15.75" customHeight="1" x14ac:dyDescent="0.25">
      <c r="B80" s="3"/>
      <c r="C80" s="3"/>
      <c r="D80" s="3"/>
      <c r="E80" s="4" t="s">
        <v>204</v>
      </c>
      <c r="F80" s="3"/>
      <c r="G80" s="3"/>
      <c r="H80" s="3"/>
      <c r="I80" s="3"/>
      <c r="J80" s="3"/>
    </row>
    <row r="81" spans="1:18" x14ac:dyDescent="0.25">
      <c r="B81" s="3"/>
      <c r="C81" s="3"/>
      <c r="D81" s="3" t="s">
        <v>686</v>
      </c>
      <c r="E81" s="3"/>
      <c r="F81" s="3"/>
      <c r="G81" s="3"/>
      <c r="H81" s="3"/>
      <c r="I81" s="3"/>
      <c r="J81" s="3"/>
    </row>
    <row r="82" spans="1:18" x14ac:dyDescent="0.25">
      <c r="A82" s="3"/>
      <c r="B82" s="5" t="s">
        <v>440</v>
      </c>
      <c r="C82" s="3"/>
      <c r="D82" s="3"/>
      <c r="E82" s="3"/>
      <c r="F82" s="3"/>
      <c r="G82" s="3"/>
      <c r="H82" s="3"/>
      <c r="I82" s="3"/>
      <c r="J82" s="3"/>
      <c r="K82" s="3"/>
      <c r="L82" s="3"/>
      <c r="M82" s="3"/>
      <c r="N82" s="4" t="s">
        <v>204</v>
      </c>
      <c r="O82" s="3"/>
      <c r="P82" s="3"/>
      <c r="Q82" s="3"/>
      <c r="R82" s="3"/>
    </row>
    <row r="83" spans="1:18" x14ac:dyDescent="0.25">
      <c r="A83" s="3" t="s">
        <v>205</v>
      </c>
      <c r="B83" s="5" t="s">
        <v>206</v>
      </c>
      <c r="C83" s="3"/>
      <c r="D83" s="3"/>
      <c r="E83" s="3"/>
      <c r="F83" s="3">
        <v>4087.7</v>
      </c>
      <c r="G83" s="3" t="s">
        <v>207</v>
      </c>
      <c r="H83" s="3"/>
      <c r="I83" s="3"/>
      <c r="J83" s="3"/>
      <c r="K83" s="3"/>
      <c r="L83" s="3"/>
      <c r="M83" s="3" t="s">
        <v>685</v>
      </c>
      <c r="N83" s="3"/>
      <c r="O83" s="3"/>
      <c r="P83" s="3"/>
      <c r="Q83" s="3"/>
      <c r="R83" s="3"/>
    </row>
    <row r="84" spans="1:18" ht="15.75" thickBot="1" x14ac:dyDescent="0.3">
      <c r="A84" s="3"/>
      <c r="B84" s="3"/>
      <c r="C84" s="3"/>
      <c r="D84" s="3"/>
      <c r="E84" s="3"/>
      <c r="F84" s="3"/>
      <c r="G84" s="3"/>
      <c r="H84" s="3"/>
      <c r="I84" s="3"/>
      <c r="J84" s="3"/>
      <c r="K84" s="5" t="s">
        <v>440</v>
      </c>
      <c r="L84" s="3"/>
      <c r="M84" s="3"/>
      <c r="N84" s="3"/>
      <c r="O84" s="3"/>
      <c r="P84" s="3"/>
      <c r="Q84" s="3"/>
      <c r="R84" s="3"/>
    </row>
    <row r="85" spans="1:18" ht="15.75" customHeight="1" x14ac:dyDescent="0.25">
      <c r="A85" s="3"/>
      <c r="B85" s="177" t="s">
        <v>210</v>
      </c>
      <c r="C85" s="178"/>
      <c r="D85" s="178"/>
      <c r="E85" s="178"/>
      <c r="F85" s="178"/>
      <c r="G85" s="180" t="s">
        <v>442</v>
      </c>
      <c r="H85" s="181"/>
      <c r="I85" s="175" t="s">
        <v>212</v>
      </c>
      <c r="J85" s="175" t="s">
        <v>209</v>
      </c>
      <c r="K85" s="5" t="s">
        <v>206</v>
      </c>
      <c r="L85" s="3"/>
      <c r="M85" s="3"/>
      <c r="N85" s="3"/>
      <c r="O85" s="3">
        <v>5714.4</v>
      </c>
      <c r="P85" s="3" t="s">
        <v>207</v>
      </c>
      <c r="Q85" s="3"/>
      <c r="R85" s="3"/>
    </row>
    <row r="86" spans="1:18" ht="33" customHeight="1" thickBot="1" x14ac:dyDescent="0.3">
      <c r="A86" s="3"/>
      <c r="B86" s="179"/>
      <c r="C86" s="179"/>
      <c r="D86" s="179"/>
      <c r="E86" s="179"/>
      <c r="F86" s="179"/>
      <c r="G86" s="182"/>
      <c r="H86" s="183"/>
      <c r="I86" s="184"/>
      <c r="J86" s="176"/>
      <c r="K86" s="3"/>
      <c r="L86" s="3"/>
      <c r="M86" s="3"/>
      <c r="N86" s="3"/>
      <c r="O86" s="3"/>
      <c r="P86" s="3"/>
      <c r="Q86" s="3"/>
      <c r="R86" s="3"/>
    </row>
    <row r="87" spans="1:18" ht="54" customHeight="1" thickBot="1" x14ac:dyDescent="0.3">
      <c r="A87" s="175" t="s">
        <v>209</v>
      </c>
      <c r="B87" s="187" t="s">
        <v>354</v>
      </c>
      <c r="C87" s="188"/>
      <c r="D87" s="188"/>
      <c r="E87" s="188"/>
      <c r="F87" s="188"/>
      <c r="G87" s="198">
        <v>90914.23</v>
      </c>
      <c r="H87" s="199"/>
      <c r="I87" s="81"/>
      <c r="J87" s="185" t="s">
        <v>213</v>
      </c>
      <c r="K87" s="177" t="s">
        <v>210</v>
      </c>
      <c r="L87" s="178"/>
      <c r="M87" s="178"/>
      <c r="N87" s="178"/>
      <c r="O87" s="178"/>
      <c r="P87" s="180" t="s">
        <v>441</v>
      </c>
      <c r="Q87" s="181"/>
      <c r="R87" s="175" t="s">
        <v>212</v>
      </c>
    </row>
    <row r="88" spans="1:18" ht="15" hidden="1" customHeight="1" x14ac:dyDescent="0.25">
      <c r="A88" s="176"/>
      <c r="B88" s="189"/>
      <c r="C88" s="189"/>
      <c r="D88" s="189"/>
      <c r="E88" s="189"/>
      <c r="F88" s="189"/>
      <c r="G88" s="200"/>
      <c r="H88" s="201"/>
      <c r="I88" s="83"/>
      <c r="J88" s="186"/>
      <c r="K88" s="179"/>
      <c r="L88" s="179"/>
      <c r="M88" s="179"/>
      <c r="N88" s="179"/>
      <c r="O88" s="179"/>
      <c r="P88" s="182"/>
      <c r="Q88" s="183"/>
      <c r="R88" s="184"/>
    </row>
    <row r="89" spans="1:18" x14ac:dyDescent="0.25">
      <c r="A89" s="185" t="s">
        <v>213</v>
      </c>
      <c r="B89" s="161" t="s">
        <v>214</v>
      </c>
      <c r="C89" s="162"/>
      <c r="D89" s="162"/>
      <c r="E89" s="162"/>
      <c r="F89" s="162"/>
      <c r="G89" s="163">
        <f>1.99*F83*12</f>
        <v>97614.275999999983</v>
      </c>
      <c r="H89" s="164"/>
      <c r="I89" s="169" t="s">
        <v>215</v>
      </c>
      <c r="J89" s="6"/>
      <c r="K89" s="187" t="s">
        <v>354</v>
      </c>
      <c r="L89" s="188"/>
      <c r="M89" s="188"/>
      <c r="N89" s="188"/>
      <c r="O89" s="188"/>
      <c r="P89" s="190">
        <v>199895.03</v>
      </c>
      <c r="Q89" s="191"/>
      <c r="R89" s="192"/>
    </row>
    <row r="90" spans="1:18" ht="27" customHeight="1" thickBot="1" x14ac:dyDescent="0.3">
      <c r="A90" s="186"/>
      <c r="B90" s="171" t="s">
        <v>216</v>
      </c>
      <c r="C90" s="172"/>
      <c r="D90" s="172"/>
      <c r="E90" s="172"/>
      <c r="F90" s="172"/>
      <c r="G90" s="165"/>
      <c r="H90" s="166"/>
      <c r="I90" s="170"/>
      <c r="J90" s="7"/>
      <c r="K90" s="189"/>
      <c r="L90" s="189"/>
      <c r="M90" s="189"/>
      <c r="N90" s="189"/>
      <c r="O90" s="189"/>
      <c r="P90" s="193"/>
      <c r="Q90" s="194"/>
      <c r="R90" s="128"/>
    </row>
    <row r="91" spans="1:18" ht="15.75" thickBot="1" x14ac:dyDescent="0.3">
      <c r="A91" s="6"/>
      <c r="B91" s="173" t="s">
        <v>217</v>
      </c>
      <c r="C91" s="174"/>
      <c r="D91" s="174"/>
      <c r="E91" s="174"/>
      <c r="F91" s="174"/>
      <c r="G91" s="167"/>
      <c r="H91" s="168"/>
      <c r="I91" s="8" t="s">
        <v>218</v>
      </c>
      <c r="J91" s="7"/>
      <c r="K91" s="161" t="s">
        <v>214</v>
      </c>
      <c r="L91" s="162"/>
      <c r="M91" s="162"/>
      <c r="N91" s="162"/>
      <c r="O91" s="162"/>
      <c r="P91" s="163">
        <f>2.19*O85*12</f>
        <v>150174.43199999997</v>
      </c>
      <c r="Q91" s="164"/>
      <c r="R91" s="169" t="s">
        <v>215</v>
      </c>
    </row>
    <row r="92" spans="1:18" ht="30" customHeight="1" thickBot="1" x14ac:dyDescent="0.3">
      <c r="A92" s="7"/>
      <c r="B92" s="141" t="s">
        <v>219</v>
      </c>
      <c r="C92" s="142"/>
      <c r="D92" s="142"/>
      <c r="E92" s="142"/>
      <c r="F92" s="142"/>
      <c r="G92" s="143">
        <v>0</v>
      </c>
      <c r="H92" s="144"/>
      <c r="I92" s="8" t="s">
        <v>220</v>
      </c>
      <c r="J92" s="7"/>
      <c r="K92" s="171" t="s">
        <v>216</v>
      </c>
      <c r="L92" s="172"/>
      <c r="M92" s="172"/>
      <c r="N92" s="172"/>
      <c r="O92" s="172"/>
      <c r="P92" s="165"/>
      <c r="Q92" s="166"/>
      <c r="R92" s="170"/>
    </row>
    <row r="93" spans="1:18" ht="15" customHeight="1" thickBot="1" x14ac:dyDescent="0.3">
      <c r="A93" s="7"/>
      <c r="B93" s="141" t="s">
        <v>221</v>
      </c>
      <c r="C93" s="142"/>
      <c r="D93" s="142"/>
      <c r="E93" s="142"/>
      <c r="F93" s="142"/>
      <c r="G93" s="143">
        <f>0.474*F83*12</f>
        <v>23250.837599999999</v>
      </c>
      <c r="H93" s="144"/>
      <c r="I93" s="8" t="s">
        <v>222</v>
      </c>
      <c r="J93" s="7"/>
      <c r="K93" s="173" t="s">
        <v>217</v>
      </c>
      <c r="L93" s="174"/>
      <c r="M93" s="174"/>
      <c r="N93" s="174"/>
      <c r="O93" s="174"/>
      <c r="P93" s="167"/>
      <c r="Q93" s="168"/>
      <c r="R93" s="8" t="s">
        <v>218</v>
      </c>
    </row>
    <row r="94" spans="1:18" ht="15.75" thickBot="1" x14ac:dyDescent="0.3">
      <c r="A94" s="7"/>
      <c r="B94" s="145" t="s">
        <v>223</v>
      </c>
      <c r="C94" s="146"/>
      <c r="D94" s="146"/>
      <c r="E94" s="146"/>
      <c r="F94" s="146"/>
      <c r="G94" s="86">
        <f>2.14*F83*12</f>
        <v>104972.136</v>
      </c>
      <c r="H94" s="147"/>
      <c r="I94" s="152" t="s">
        <v>224</v>
      </c>
      <c r="J94" s="9"/>
      <c r="K94" s="141" t="s">
        <v>219</v>
      </c>
      <c r="L94" s="142"/>
      <c r="M94" s="142"/>
      <c r="N94" s="142"/>
      <c r="O94" s="142"/>
      <c r="P94" s="143">
        <v>0</v>
      </c>
      <c r="Q94" s="144"/>
      <c r="R94" s="8" t="s">
        <v>220</v>
      </c>
    </row>
    <row r="95" spans="1:18" ht="15.75" thickBot="1" x14ac:dyDescent="0.3">
      <c r="A95" s="7"/>
      <c r="B95" s="155" t="s">
        <v>226</v>
      </c>
      <c r="C95" s="156"/>
      <c r="D95" s="156"/>
      <c r="E95" s="156"/>
      <c r="F95" s="156"/>
      <c r="G95" s="148"/>
      <c r="H95" s="149"/>
      <c r="I95" s="153"/>
      <c r="J95" s="10"/>
      <c r="K95" s="141" t="s">
        <v>221</v>
      </c>
      <c r="L95" s="142"/>
      <c r="M95" s="142"/>
      <c r="N95" s="142"/>
      <c r="O95" s="142"/>
      <c r="P95" s="143">
        <f>0.474*O85*12</f>
        <v>32503.5072</v>
      </c>
      <c r="Q95" s="144"/>
      <c r="R95" s="8" t="s">
        <v>222</v>
      </c>
    </row>
    <row r="96" spans="1:18" ht="15.75" thickBot="1" x14ac:dyDescent="0.3">
      <c r="A96" s="9"/>
      <c r="B96" s="157" t="s">
        <v>227</v>
      </c>
      <c r="C96" s="158"/>
      <c r="D96" s="158"/>
      <c r="E96" s="158"/>
      <c r="F96" s="158"/>
      <c r="G96" s="148"/>
      <c r="H96" s="149"/>
      <c r="I96" s="154"/>
      <c r="J96" s="10"/>
      <c r="K96" s="145" t="s">
        <v>223</v>
      </c>
      <c r="L96" s="146"/>
      <c r="M96" s="146"/>
      <c r="N96" s="146"/>
      <c r="O96" s="146"/>
      <c r="P96" s="86">
        <f>2.3*O85*12</f>
        <v>157717.44</v>
      </c>
      <c r="Q96" s="147"/>
      <c r="R96" s="152" t="s">
        <v>224</v>
      </c>
    </row>
    <row r="97" spans="1:18" ht="15.75" thickBot="1" x14ac:dyDescent="0.3">
      <c r="A97" s="10"/>
      <c r="B97" s="159" t="s">
        <v>228</v>
      </c>
      <c r="C97" s="160"/>
      <c r="D97" s="160"/>
      <c r="E97" s="160"/>
      <c r="F97" s="160"/>
      <c r="G97" s="150"/>
      <c r="H97" s="151"/>
      <c r="I97" s="11" t="s">
        <v>229</v>
      </c>
      <c r="J97" s="10"/>
      <c r="K97" s="155" t="s">
        <v>226</v>
      </c>
      <c r="L97" s="156"/>
      <c r="M97" s="156"/>
      <c r="N97" s="156"/>
      <c r="O97" s="156"/>
      <c r="P97" s="148"/>
      <c r="Q97" s="149"/>
      <c r="R97" s="153"/>
    </row>
    <row r="98" spans="1:18" ht="16.5" customHeight="1" thickBot="1" x14ac:dyDescent="0.3">
      <c r="A98" s="10"/>
      <c r="B98" s="125" t="s">
        <v>230</v>
      </c>
      <c r="C98" s="126"/>
      <c r="D98" s="126"/>
      <c r="E98" s="126"/>
      <c r="F98" s="126"/>
      <c r="G98" s="86">
        <f>0.048*F83*12</f>
        <v>2354.5151999999998</v>
      </c>
      <c r="H98" s="87"/>
      <c r="I98" s="129" t="s">
        <v>220</v>
      </c>
      <c r="J98" s="12"/>
      <c r="K98" s="157" t="s">
        <v>227</v>
      </c>
      <c r="L98" s="158"/>
      <c r="M98" s="158"/>
      <c r="N98" s="158"/>
      <c r="O98" s="158"/>
      <c r="P98" s="148"/>
      <c r="Q98" s="149"/>
      <c r="R98" s="154"/>
    </row>
    <row r="99" spans="1:18" ht="15.75" thickBot="1" x14ac:dyDescent="0.3">
      <c r="A99" s="10"/>
      <c r="B99" s="131" t="s">
        <v>231</v>
      </c>
      <c r="C99" s="132"/>
      <c r="D99" s="132"/>
      <c r="E99" s="132"/>
      <c r="F99" s="132"/>
      <c r="G99" s="127"/>
      <c r="H99" s="128"/>
      <c r="I99" s="130"/>
      <c r="J99" s="7"/>
      <c r="K99" s="159" t="s">
        <v>228</v>
      </c>
      <c r="L99" s="160"/>
      <c r="M99" s="160"/>
      <c r="N99" s="160"/>
      <c r="O99" s="160"/>
      <c r="P99" s="150"/>
      <c r="Q99" s="151"/>
      <c r="R99" s="11" t="s">
        <v>229</v>
      </c>
    </row>
    <row r="100" spans="1:18" ht="15.75" customHeight="1" thickBot="1" x14ac:dyDescent="0.3">
      <c r="A100" s="12"/>
      <c r="B100" s="133" t="s">
        <v>232</v>
      </c>
      <c r="C100" s="134"/>
      <c r="D100" s="134"/>
      <c r="E100" s="134"/>
      <c r="F100" s="134"/>
      <c r="G100" s="135"/>
      <c r="H100" s="136"/>
      <c r="I100" s="14"/>
      <c r="J100" s="13"/>
      <c r="K100" s="125" t="s">
        <v>230</v>
      </c>
      <c r="L100" s="126"/>
      <c r="M100" s="126"/>
      <c r="N100" s="126"/>
      <c r="O100" s="126"/>
      <c r="P100" s="86">
        <f>0.048*O85*12</f>
        <v>3291.4944</v>
      </c>
      <c r="Q100" s="87"/>
      <c r="R100" s="129" t="s">
        <v>220</v>
      </c>
    </row>
    <row r="101" spans="1:18" ht="15.75" customHeight="1" thickBot="1" x14ac:dyDescent="0.3">
      <c r="A101" s="7"/>
      <c r="B101" s="84" t="s">
        <v>233</v>
      </c>
      <c r="C101" s="85"/>
      <c r="D101" s="85"/>
      <c r="E101" s="85"/>
      <c r="F101" s="85"/>
      <c r="G101" s="86">
        <f>1.31*F83*12</f>
        <v>64258.644</v>
      </c>
      <c r="H101" s="87"/>
      <c r="I101" s="92" t="s">
        <v>450</v>
      </c>
      <c r="J101" s="13"/>
      <c r="K101" s="131" t="s">
        <v>231</v>
      </c>
      <c r="L101" s="132"/>
      <c r="M101" s="132"/>
      <c r="N101" s="132"/>
      <c r="O101" s="132"/>
      <c r="P101" s="127"/>
      <c r="Q101" s="128"/>
      <c r="R101" s="130"/>
    </row>
    <row r="102" spans="1:18" ht="33.75" customHeight="1" thickBot="1" x14ac:dyDescent="0.3">
      <c r="A102" s="13"/>
      <c r="B102" s="121" t="s">
        <v>226</v>
      </c>
      <c r="C102" s="122"/>
      <c r="D102" s="122"/>
      <c r="E102" s="122"/>
      <c r="F102" s="122"/>
      <c r="G102" s="88"/>
      <c r="H102" s="89"/>
      <c r="I102" s="93"/>
      <c r="J102" s="118"/>
      <c r="K102" s="133" t="s">
        <v>232</v>
      </c>
      <c r="L102" s="134"/>
      <c r="M102" s="134"/>
      <c r="N102" s="134"/>
      <c r="O102" s="134"/>
      <c r="P102" s="135"/>
      <c r="Q102" s="136"/>
      <c r="R102" s="14"/>
    </row>
    <row r="103" spans="1:18" ht="50.25" customHeight="1" thickBot="1" x14ac:dyDescent="0.3">
      <c r="A103" s="13"/>
      <c r="B103" s="121" t="s">
        <v>227</v>
      </c>
      <c r="C103" s="122"/>
      <c r="D103" s="122"/>
      <c r="E103" s="122"/>
      <c r="F103" s="122"/>
      <c r="G103" s="88"/>
      <c r="H103" s="89"/>
      <c r="I103" s="93"/>
      <c r="J103" s="119"/>
      <c r="K103" s="84" t="s">
        <v>233</v>
      </c>
      <c r="L103" s="85"/>
      <c r="M103" s="85"/>
      <c r="N103" s="85"/>
      <c r="O103" s="85"/>
      <c r="P103" s="86">
        <f>1.6*O85*12</f>
        <v>109716.47999999998</v>
      </c>
      <c r="Q103" s="87"/>
      <c r="R103" s="92" t="s">
        <v>453</v>
      </c>
    </row>
    <row r="104" spans="1:18" ht="49.5" customHeight="1" x14ac:dyDescent="0.25">
      <c r="A104" s="118"/>
      <c r="B104" s="121" t="s">
        <v>228</v>
      </c>
      <c r="C104" s="122"/>
      <c r="D104" s="122"/>
      <c r="E104" s="122"/>
      <c r="F104" s="122"/>
      <c r="G104" s="88"/>
      <c r="H104" s="89"/>
      <c r="I104" s="93"/>
      <c r="J104" s="119"/>
      <c r="K104" s="121" t="s">
        <v>226</v>
      </c>
      <c r="L104" s="122"/>
      <c r="M104" s="122"/>
      <c r="N104" s="122"/>
      <c r="O104" s="122"/>
      <c r="P104" s="88"/>
      <c r="Q104" s="89"/>
      <c r="R104" s="93"/>
    </row>
    <row r="105" spans="1:18" ht="64.5" customHeight="1" thickBot="1" x14ac:dyDescent="0.3">
      <c r="A105" s="119"/>
      <c r="B105" s="123" t="s">
        <v>234</v>
      </c>
      <c r="C105" s="124"/>
      <c r="D105" s="124"/>
      <c r="E105" s="124"/>
      <c r="F105" s="124"/>
      <c r="G105" s="90"/>
      <c r="H105" s="91"/>
      <c r="I105" s="94"/>
      <c r="J105" s="120"/>
      <c r="K105" s="121" t="s">
        <v>227</v>
      </c>
      <c r="L105" s="122"/>
      <c r="M105" s="122"/>
      <c r="N105" s="122"/>
      <c r="O105" s="122"/>
      <c r="P105" s="88"/>
      <c r="Q105" s="89"/>
      <c r="R105" s="93"/>
    </row>
    <row r="106" spans="1:18" ht="15" hidden="1" customHeight="1" x14ac:dyDescent="0.25">
      <c r="A106" s="119"/>
      <c r="B106" s="137"/>
      <c r="C106" s="138"/>
      <c r="D106" s="138"/>
      <c r="E106" s="138"/>
      <c r="F106" s="138"/>
      <c r="G106" s="139"/>
      <c r="H106" s="140"/>
      <c r="I106" s="16"/>
      <c r="J106" s="15"/>
      <c r="K106" s="121" t="s">
        <v>228</v>
      </c>
      <c r="L106" s="122"/>
      <c r="M106" s="122"/>
      <c r="N106" s="122"/>
      <c r="O106" s="122"/>
      <c r="P106" s="88"/>
      <c r="Q106" s="89"/>
      <c r="R106" s="93"/>
    </row>
    <row r="107" spans="1:18" ht="18" customHeight="1" thickBot="1" x14ac:dyDescent="0.3">
      <c r="A107" s="120"/>
      <c r="B107" s="137" t="s">
        <v>235</v>
      </c>
      <c r="C107" s="138"/>
      <c r="D107" s="138"/>
      <c r="E107" s="138"/>
      <c r="F107" s="138"/>
      <c r="G107" s="139"/>
      <c r="H107" s="140"/>
      <c r="I107" s="16"/>
      <c r="J107" s="15"/>
      <c r="K107" s="123" t="s">
        <v>234</v>
      </c>
      <c r="L107" s="124"/>
      <c r="M107" s="124"/>
      <c r="N107" s="124"/>
      <c r="O107" s="124"/>
      <c r="P107" s="90"/>
      <c r="Q107" s="91"/>
      <c r="R107" s="94"/>
    </row>
    <row r="108" spans="1:18" ht="27.75" customHeight="1" thickBot="1" x14ac:dyDescent="0.3">
      <c r="A108" s="15"/>
      <c r="B108" s="78" t="s">
        <v>237</v>
      </c>
      <c r="C108" s="79"/>
      <c r="D108" s="79"/>
      <c r="E108" s="79"/>
      <c r="F108" s="79"/>
      <c r="G108" s="86">
        <v>2153</v>
      </c>
      <c r="H108" s="87"/>
      <c r="I108" s="108" t="s">
        <v>229</v>
      </c>
      <c r="J108" s="17"/>
      <c r="K108" s="137"/>
      <c r="L108" s="138"/>
      <c r="M108" s="138"/>
      <c r="N108" s="138"/>
      <c r="O108" s="138"/>
      <c r="P108" s="139"/>
      <c r="Q108" s="140"/>
      <c r="R108" s="16"/>
    </row>
    <row r="109" spans="1:18" ht="15.75" hidden="1" thickBot="1" x14ac:dyDescent="0.3">
      <c r="A109" s="15"/>
      <c r="B109" s="110" t="s">
        <v>238</v>
      </c>
      <c r="C109" s="111"/>
      <c r="D109" s="111"/>
      <c r="E109" s="111"/>
      <c r="F109" s="111"/>
      <c r="G109" s="90"/>
      <c r="H109" s="91"/>
      <c r="I109" s="109"/>
      <c r="J109" s="18"/>
      <c r="K109" s="137" t="s">
        <v>235</v>
      </c>
      <c r="L109" s="138"/>
      <c r="M109" s="138"/>
      <c r="N109" s="138"/>
      <c r="O109" s="138"/>
      <c r="P109" s="139">
        <v>4102.5</v>
      </c>
      <c r="Q109" s="140"/>
      <c r="R109" s="16"/>
    </row>
    <row r="110" spans="1:18" ht="30.75" customHeight="1" thickBot="1" x14ac:dyDescent="0.3">
      <c r="A110" s="17"/>
      <c r="B110" s="112" t="s">
        <v>239</v>
      </c>
      <c r="C110" s="113"/>
      <c r="D110" s="113"/>
      <c r="E110" s="113"/>
      <c r="F110" s="113"/>
      <c r="G110" s="114">
        <f>G89+G93+G94+G98+G101+G107+G108</f>
        <v>294603.40879999998</v>
      </c>
      <c r="H110" s="115"/>
      <c r="I110" s="20"/>
      <c r="J110" s="19"/>
      <c r="K110" s="78" t="s">
        <v>237</v>
      </c>
      <c r="L110" s="79"/>
      <c r="M110" s="79"/>
      <c r="N110" s="79"/>
      <c r="O110" s="79"/>
      <c r="P110" s="86">
        <v>27011</v>
      </c>
      <c r="Q110" s="87"/>
      <c r="R110" s="108" t="s">
        <v>229</v>
      </c>
    </row>
    <row r="111" spans="1:18" ht="15.75" thickBot="1" x14ac:dyDescent="0.3">
      <c r="A111" s="18"/>
      <c r="B111" s="101" t="s">
        <v>240</v>
      </c>
      <c r="C111" s="102"/>
      <c r="D111" s="102"/>
      <c r="E111" s="102"/>
      <c r="F111" s="102"/>
      <c r="G111" s="116">
        <f>G110*1.2</f>
        <v>353524.09055999998</v>
      </c>
      <c r="H111" s="117"/>
      <c r="I111" s="22"/>
      <c r="J111" s="21"/>
      <c r="K111" s="110" t="s">
        <v>238</v>
      </c>
      <c r="L111" s="111"/>
      <c r="M111" s="111"/>
      <c r="N111" s="111"/>
      <c r="O111" s="111"/>
      <c r="P111" s="90"/>
      <c r="Q111" s="91"/>
      <c r="R111" s="109"/>
    </row>
    <row r="112" spans="1:18" ht="15.75" customHeight="1" thickBot="1" x14ac:dyDescent="0.3">
      <c r="A112" s="19"/>
      <c r="B112" s="96" t="s">
        <v>443</v>
      </c>
      <c r="C112" s="97"/>
      <c r="D112" s="97"/>
      <c r="E112" s="97"/>
      <c r="F112" s="97"/>
      <c r="G112" s="98">
        <v>363354.46</v>
      </c>
      <c r="H112" s="99"/>
      <c r="I112" s="100"/>
      <c r="J112" s="24"/>
      <c r="K112" s="112" t="s">
        <v>239</v>
      </c>
      <c r="L112" s="113"/>
      <c r="M112" s="113"/>
      <c r="N112" s="113"/>
      <c r="O112" s="113"/>
      <c r="P112" s="114">
        <f>P91+P95+P96+P100+P103+P109+P110</f>
        <v>484516.85359999997</v>
      </c>
      <c r="Q112" s="115"/>
      <c r="R112" s="20"/>
    </row>
    <row r="113" spans="1:18" ht="15.75" thickBot="1" x14ac:dyDescent="0.3">
      <c r="A113" s="21"/>
      <c r="B113" s="101" t="s">
        <v>242</v>
      </c>
      <c r="C113" s="102"/>
      <c r="D113" s="102"/>
      <c r="E113" s="102"/>
      <c r="F113" s="102"/>
      <c r="G113" s="103">
        <v>368893.93</v>
      </c>
      <c r="H113" s="104"/>
      <c r="I113" s="105"/>
      <c r="J113" s="19"/>
      <c r="K113" s="101" t="s">
        <v>240</v>
      </c>
      <c r="L113" s="102"/>
      <c r="M113" s="102"/>
      <c r="N113" s="102"/>
      <c r="O113" s="102"/>
      <c r="P113" s="116">
        <f>P112*1.2</f>
        <v>581420.22431999992</v>
      </c>
      <c r="Q113" s="117"/>
      <c r="R113" s="22"/>
    </row>
    <row r="114" spans="1:18" ht="15.75" thickBot="1" x14ac:dyDescent="0.3">
      <c r="A114" s="24"/>
      <c r="B114" s="106" t="s">
        <v>444</v>
      </c>
      <c r="C114" s="107"/>
      <c r="D114" s="107"/>
      <c r="E114" s="107"/>
      <c r="F114" s="107"/>
      <c r="G114" s="103">
        <v>85374.76</v>
      </c>
      <c r="H114" s="104"/>
      <c r="I114" s="105"/>
      <c r="J114" s="19"/>
      <c r="K114" s="96" t="s">
        <v>443</v>
      </c>
      <c r="L114" s="97"/>
      <c r="M114" s="97"/>
      <c r="N114" s="97"/>
      <c r="O114" s="97"/>
      <c r="P114" s="98">
        <v>580011.01</v>
      </c>
      <c r="Q114" s="99"/>
      <c r="R114" s="100"/>
    </row>
    <row r="115" spans="1:18" ht="15.75" thickBot="1" x14ac:dyDescent="0.3">
      <c r="A115" s="19"/>
      <c r="B115" s="26"/>
      <c r="C115" s="26"/>
      <c r="D115" s="26"/>
      <c r="E115" s="26"/>
      <c r="F115" s="26"/>
      <c r="G115" s="27"/>
      <c r="H115" s="3"/>
      <c r="I115" s="3"/>
      <c r="J115" s="4"/>
      <c r="K115" s="101" t="s">
        <v>242</v>
      </c>
      <c r="L115" s="102"/>
      <c r="M115" s="102"/>
      <c r="N115" s="102"/>
      <c r="O115" s="102"/>
      <c r="P115" s="103">
        <v>624746.96</v>
      </c>
      <c r="Q115" s="104"/>
      <c r="R115" s="105"/>
    </row>
    <row r="116" spans="1:18" ht="16.5" thickBot="1" x14ac:dyDescent="0.3">
      <c r="A116" s="19"/>
      <c r="C116" s="30"/>
      <c r="I116" s="5"/>
      <c r="K116" s="106" t="s">
        <v>444</v>
      </c>
      <c r="L116" s="107"/>
      <c r="M116" s="107"/>
      <c r="N116" s="107"/>
      <c r="O116" s="107"/>
      <c r="P116" s="103">
        <v>155159.07999999999</v>
      </c>
      <c r="Q116" s="104"/>
      <c r="R116" s="105"/>
    </row>
    <row r="117" spans="1:18" ht="30" customHeight="1" x14ac:dyDescent="0.25">
      <c r="A117" s="4"/>
      <c r="B117" s="3"/>
      <c r="C117" s="3"/>
      <c r="D117" s="3"/>
      <c r="E117" s="4" t="s">
        <v>204</v>
      </c>
      <c r="F117" s="3"/>
      <c r="G117" s="3"/>
      <c r="H117" s="3"/>
      <c r="I117" s="3"/>
      <c r="J117" s="3"/>
      <c r="K117" s="195"/>
      <c r="L117" s="195"/>
      <c r="M117" s="195"/>
      <c r="N117" s="195"/>
      <c r="O117" s="195"/>
      <c r="P117" s="195"/>
      <c r="Q117" s="195"/>
      <c r="R117" s="195"/>
    </row>
    <row r="118" spans="1:18" x14ac:dyDescent="0.25">
      <c r="B118" s="3"/>
      <c r="C118" s="3"/>
      <c r="D118" s="3" t="s">
        <v>683</v>
      </c>
      <c r="E118" s="3"/>
      <c r="F118" s="3"/>
      <c r="G118" s="3"/>
      <c r="H118" s="3"/>
      <c r="I118" s="3"/>
      <c r="J118" s="3" t="s">
        <v>205</v>
      </c>
    </row>
    <row r="119" spans="1:18" x14ac:dyDescent="0.25">
      <c r="A119" s="3"/>
      <c r="B119" s="5" t="s">
        <v>440</v>
      </c>
      <c r="C119" s="3"/>
      <c r="D119" s="3"/>
      <c r="E119" s="3"/>
      <c r="F119" s="3"/>
      <c r="G119" s="3"/>
      <c r="H119" s="3"/>
      <c r="I119" s="3"/>
      <c r="J119" s="3"/>
      <c r="K119" s="3"/>
      <c r="L119" s="3"/>
      <c r="M119" s="3"/>
      <c r="N119" s="4" t="s">
        <v>204</v>
      </c>
      <c r="O119" s="3"/>
      <c r="P119" s="3"/>
      <c r="Q119" s="3"/>
      <c r="R119" s="3"/>
    </row>
    <row r="120" spans="1:18" ht="15.75" customHeight="1" x14ac:dyDescent="0.25">
      <c r="A120" s="3" t="s">
        <v>205</v>
      </c>
      <c r="B120" s="5" t="s">
        <v>206</v>
      </c>
      <c r="C120" s="3"/>
      <c r="D120" s="3"/>
      <c r="E120" s="3"/>
      <c r="F120" s="3">
        <v>8075.1</v>
      </c>
      <c r="G120" s="3" t="s">
        <v>207</v>
      </c>
      <c r="H120" s="3"/>
      <c r="I120" s="3"/>
      <c r="J120" s="3"/>
      <c r="K120" s="3"/>
      <c r="L120" s="3"/>
      <c r="M120" s="3" t="s">
        <v>684</v>
      </c>
      <c r="N120" s="3"/>
      <c r="O120" s="3"/>
      <c r="P120" s="3"/>
      <c r="Q120" s="3"/>
      <c r="R120" s="3"/>
    </row>
    <row r="121" spans="1:18" ht="15.75" customHeight="1" thickBot="1" x14ac:dyDescent="0.3">
      <c r="A121" s="3"/>
      <c r="B121" s="3"/>
      <c r="C121" s="3"/>
      <c r="D121" s="3"/>
      <c r="E121" s="3"/>
      <c r="F121" s="3"/>
      <c r="G121" s="3"/>
      <c r="H121" s="3"/>
      <c r="I121" s="3"/>
      <c r="J121" s="3"/>
      <c r="K121" s="5" t="s">
        <v>440</v>
      </c>
      <c r="L121" s="3"/>
      <c r="M121" s="3"/>
      <c r="N121" s="3"/>
      <c r="O121" s="3"/>
      <c r="P121" s="3"/>
      <c r="Q121" s="3"/>
      <c r="R121" s="3"/>
    </row>
    <row r="122" spans="1:18" x14ac:dyDescent="0.25">
      <c r="A122" s="3"/>
      <c r="B122" s="177" t="s">
        <v>210</v>
      </c>
      <c r="C122" s="178"/>
      <c r="D122" s="178"/>
      <c r="E122" s="178"/>
      <c r="F122" s="178"/>
      <c r="G122" s="180" t="s">
        <v>441</v>
      </c>
      <c r="H122" s="181"/>
      <c r="I122" s="175" t="s">
        <v>212</v>
      </c>
      <c r="J122" s="175" t="s">
        <v>209</v>
      </c>
      <c r="K122" s="5" t="s">
        <v>206</v>
      </c>
      <c r="L122" s="3"/>
      <c r="M122" s="3"/>
      <c r="N122" s="3"/>
      <c r="O122" s="3">
        <v>10742.2</v>
      </c>
      <c r="P122" s="3" t="s">
        <v>207</v>
      </c>
      <c r="Q122" s="3"/>
      <c r="R122" s="3"/>
    </row>
    <row r="123" spans="1:18" ht="45.75" customHeight="1" thickBot="1" x14ac:dyDescent="0.3">
      <c r="A123" s="3"/>
      <c r="B123" s="179"/>
      <c r="C123" s="179"/>
      <c r="D123" s="179"/>
      <c r="E123" s="179"/>
      <c r="F123" s="179"/>
      <c r="G123" s="182"/>
      <c r="H123" s="183"/>
      <c r="I123" s="184"/>
      <c r="J123" s="176"/>
      <c r="K123" s="3"/>
      <c r="L123" s="3"/>
      <c r="M123" s="3"/>
      <c r="N123" s="3"/>
      <c r="O123" s="3"/>
      <c r="P123" s="3"/>
      <c r="Q123" s="3"/>
      <c r="R123" s="3"/>
    </row>
    <row r="124" spans="1:18" ht="66" customHeight="1" thickBot="1" x14ac:dyDescent="0.3">
      <c r="A124" s="175" t="s">
        <v>209</v>
      </c>
      <c r="B124" s="187" t="s">
        <v>354</v>
      </c>
      <c r="C124" s="188"/>
      <c r="D124" s="188"/>
      <c r="E124" s="188"/>
      <c r="F124" s="188"/>
      <c r="G124" s="190">
        <v>97206.6</v>
      </c>
      <c r="H124" s="191"/>
      <c r="I124" s="192"/>
      <c r="J124" s="185" t="s">
        <v>213</v>
      </c>
      <c r="K124" s="177" t="s">
        <v>210</v>
      </c>
      <c r="L124" s="178"/>
      <c r="M124" s="178"/>
      <c r="N124" s="178"/>
      <c r="O124" s="178"/>
      <c r="P124" s="180" t="s">
        <v>441</v>
      </c>
      <c r="Q124" s="181"/>
      <c r="R124" s="175" t="s">
        <v>212</v>
      </c>
    </row>
    <row r="125" spans="1:18" ht="12.75" hidden="1" customHeight="1" thickBot="1" x14ac:dyDescent="0.3">
      <c r="A125" s="176"/>
      <c r="B125" s="189"/>
      <c r="C125" s="189"/>
      <c r="D125" s="189"/>
      <c r="E125" s="189"/>
      <c r="F125" s="189"/>
      <c r="G125" s="193"/>
      <c r="H125" s="194"/>
      <c r="I125" s="128"/>
      <c r="J125" s="186"/>
      <c r="K125" s="179"/>
      <c r="L125" s="179"/>
      <c r="M125" s="179"/>
      <c r="N125" s="179"/>
      <c r="O125" s="179"/>
      <c r="P125" s="182"/>
      <c r="Q125" s="183"/>
      <c r="R125" s="184"/>
    </row>
    <row r="126" spans="1:18" ht="5.25" customHeight="1" x14ac:dyDescent="0.25">
      <c r="A126" s="185" t="s">
        <v>213</v>
      </c>
      <c r="B126" s="161" t="s">
        <v>214</v>
      </c>
      <c r="C126" s="162"/>
      <c r="D126" s="162"/>
      <c r="E126" s="162"/>
      <c r="F126" s="162"/>
      <c r="G126" s="163">
        <f>1.71*12*F120</f>
        <v>165701.052</v>
      </c>
      <c r="H126" s="164"/>
      <c r="I126" s="169" t="s">
        <v>215</v>
      </c>
      <c r="J126" s="6"/>
      <c r="K126" s="187" t="s">
        <v>354</v>
      </c>
      <c r="L126" s="188"/>
      <c r="M126" s="188"/>
      <c r="N126" s="188"/>
      <c r="O126" s="188"/>
      <c r="P126" s="190">
        <v>137152.95999999999</v>
      </c>
      <c r="Q126" s="191"/>
      <c r="R126" s="192"/>
    </row>
    <row r="127" spans="1:18" ht="15.75" thickBot="1" x14ac:dyDescent="0.3">
      <c r="A127" s="186"/>
      <c r="B127" s="171" t="s">
        <v>216</v>
      </c>
      <c r="C127" s="172"/>
      <c r="D127" s="172"/>
      <c r="E127" s="172"/>
      <c r="F127" s="172"/>
      <c r="G127" s="165"/>
      <c r="H127" s="166"/>
      <c r="I127" s="170"/>
      <c r="J127" s="7"/>
      <c r="K127" s="189"/>
      <c r="L127" s="189"/>
      <c r="M127" s="189"/>
      <c r="N127" s="189"/>
      <c r="O127" s="189"/>
      <c r="P127" s="193"/>
      <c r="Q127" s="194"/>
      <c r="R127" s="128"/>
    </row>
    <row r="128" spans="1:18" ht="15.75" thickBot="1" x14ac:dyDescent="0.3">
      <c r="A128" s="6"/>
      <c r="B128" s="173" t="s">
        <v>217</v>
      </c>
      <c r="C128" s="174"/>
      <c r="D128" s="174"/>
      <c r="E128" s="174"/>
      <c r="F128" s="174"/>
      <c r="G128" s="167"/>
      <c r="H128" s="168"/>
      <c r="I128" s="8" t="s">
        <v>218</v>
      </c>
      <c r="J128" s="7"/>
      <c r="K128" s="161" t="s">
        <v>214</v>
      </c>
      <c r="L128" s="162"/>
      <c r="M128" s="162"/>
      <c r="N128" s="162"/>
      <c r="O128" s="162"/>
      <c r="P128" s="163">
        <f>1.5*O122*12</f>
        <v>193359.6</v>
      </c>
      <c r="Q128" s="164"/>
      <c r="R128" s="169" t="s">
        <v>215</v>
      </c>
    </row>
    <row r="129" spans="1:18" ht="18.75" customHeight="1" thickBot="1" x14ac:dyDescent="0.3">
      <c r="A129" s="7"/>
      <c r="B129" s="141" t="s">
        <v>219</v>
      </c>
      <c r="C129" s="142"/>
      <c r="D129" s="142"/>
      <c r="E129" s="142"/>
      <c r="F129" s="142"/>
      <c r="G129" s="143">
        <f>1748.85*4*12</f>
        <v>83944.799999999988</v>
      </c>
      <c r="H129" s="144"/>
      <c r="I129" s="8" t="s">
        <v>220</v>
      </c>
      <c r="J129" s="7"/>
      <c r="K129" s="171" t="s">
        <v>216</v>
      </c>
      <c r="L129" s="172"/>
      <c r="M129" s="172"/>
      <c r="N129" s="172"/>
      <c r="O129" s="172"/>
      <c r="P129" s="165"/>
      <c r="Q129" s="166"/>
      <c r="R129" s="170"/>
    </row>
    <row r="130" spans="1:18" ht="15.75" thickBot="1" x14ac:dyDescent="0.3">
      <c r="A130" s="7"/>
      <c r="B130" s="141" t="s">
        <v>221</v>
      </c>
      <c r="C130" s="142"/>
      <c r="D130" s="142"/>
      <c r="E130" s="142"/>
      <c r="F130" s="142"/>
      <c r="G130" s="143">
        <f>0.474*F120*12</f>
        <v>45931.168799999999</v>
      </c>
      <c r="H130" s="144"/>
      <c r="I130" s="8" t="s">
        <v>222</v>
      </c>
      <c r="J130" s="7"/>
      <c r="K130" s="173" t="s">
        <v>217</v>
      </c>
      <c r="L130" s="174"/>
      <c r="M130" s="174"/>
      <c r="N130" s="174"/>
      <c r="O130" s="174"/>
      <c r="P130" s="167"/>
      <c r="Q130" s="168"/>
      <c r="R130" s="8" t="s">
        <v>218</v>
      </c>
    </row>
    <row r="131" spans="1:18" ht="15.75" thickBot="1" x14ac:dyDescent="0.3">
      <c r="A131" s="7"/>
      <c r="B131" s="145" t="s">
        <v>223</v>
      </c>
      <c r="C131" s="146"/>
      <c r="D131" s="146"/>
      <c r="E131" s="146"/>
      <c r="F131" s="146"/>
      <c r="G131" s="86">
        <f>1.52*12*F120</f>
        <v>147289.82400000002</v>
      </c>
      <c r="H131" s="147"/>
      <c r="I131" s="152" t="s">
        <v>224</v>
      </c>
      <c r="J131" s="9"/>
      <c r="K131" s="141" t="s">
        <v>219</v>
      </c>
      <c r="L131" s="142"/>
      <c r="M131" s="142"/>
      <c r="N131" s="142"/>
      <c r="O131" s="142"/>
      <c r="P131" s="143">
        <f>1748.85*5*12</f>
        <v>104931</v>
      </c>
      <c r="Q131" s="144"/>
      <c r="R131" s="8" t="s">
        <v>220</v>
      </c>
    </row>
    <row r="132" spans="1:18" ht="15.75" thickBot="1" x14ac:dyDescent="0.3">
      <c r="A132" s="7"/>
      <c r="B132" s="155" t="s">
        <v>226</v>
      </c>
      <c r="C132" s="156"/>
      <c r="D132" s="156"/>
      <c r="E132" s="156"/>
      <c r="F132" s="156"/>
      <c r="G132" s="148"/>
      <c r="H132" s="149"/>
      <c r="I132" s="153"/>
      <c r="J132" s="10"/>
      <c r="K132" s="141" t="s">
        <v>221</v>
      </c>
      <c r="L132" s="142"/>
      <c r="M132" s="142"/>
      <c r="N132" s="142"/>
      <c r="O132" s="142"/>
      <c r="P132" s="143">
        <f>0.474*O122*12</f>
        <v>61101.633600000001</v>
      </c>
      <c r="Q132" s="144"/>
      <c r="R132" s="8" t="s">
        <v>222</v>
      </c>
    </row>
    <row r="133" spans="1:18" ht="32.450000000000003" customHeight="1" thickBot="1" x14ac:dyDescent="0.3">
      <c r="A133" s="9"/>
      <c r="B133" s="157" t="s">
        <v>227</v>
      </c>
      <c r="C133" s="158"/>
      <c r="D133" s="158"/>
      <c r="E133" s="158"/>
      <c r="F133" s="158"/>
      <c r="G133" s="148"/>
      <c r="H133" s="149"/>
      <c r="I133" s="154"/>
      <c r="J133" s="10"/>
      <c r="K133" s="145" t="s">
        <v>223</v>
      </c>
      <c r="L133" s="146"/>
      <c r="M133" s="146"/>
      <c r="N133" s="146"/>
      <c r="O133" s="146"/>
      <c r="P133" s="86">
        <f>1.57*12*O122</f>
        <v>202383.04800000001</v>
      </c>
      <c r="Q133" s="147"/>
      <c r="R133" s="152" t="s">
        <v>224</v>
      </c>
    </row>
    <row r="134" spans="1:18" ht="15.75" thickBot="1" x14ac:dyDescent="0.3">
      <c r="A134" s="10"/>
      <c r="B134" s="159" t="s">
        <v>228</v>
      </c>
      <c r="C134" s="160"/>
      <c r="D134" s="160"/>
      <c r="E134" s="160"/>
      <c r="F134" s="160"/>
      <c r="G134" s="150"/>
      <c r="H134" s="151"/>
      <c r="I134" s="11" t="s">
        <v>229</v>
      </c>
      <c r="J134" s="10"/>
      <c r="K134" s="155" t="s">
        <v>226</v>
      </c>
      <c r="L134" s="156"/>
      <c r="M134" s="156"/>
      <c r="N134" s="156"/>
      <c r="O134" s="156"/>
      <c r="P134" s="148"/>
      <c r="Q134" s="149"/>
      <c r="R134" s="153"/>
    </row>
    <row r="135" spans="1:18" ht="15.75" thickBot="1" x14ac:dyDescent="0.3">
      <c r="A135" s="10"/>
      <c r="B135" s="125" t="s">
        <v>230</v>
      </c>
      <c r="C135" s="126"/>
      <c r="D135" s="126"/>
      <c r="E135" s="126"/>
      <c r="F135" s="126"/>
      <c r="G135" s="86">
        <f>0.048*12*F120</f>
        <v>4651.2576000000008</v>
      </c>
      <c r="H135" s="87"/>
      <c r="I135" s="129" t="s">
        <v>220</v>
      </c>
      <c r="J135" s="12"/>
      <c r="K135" s="157" t="s">
        <v>227</v>
      </c>
      <c r="L135" s="158"/>
      <c r="M135" s="158"/>
      <c r="N135" s="158"/>
      <c r="O135" s="158"/>
      <c r="P135" s="148"/>
      <c r="Q135" s="149"/>
      <c r="R135" s="154"/>
    </row>
    <row r="136" spans="1:18" ht="15.75" thickBot="1" x14ac:dyDescent="0.3">
      <c r="A136" s="10"/>
      <c r="B136" s="131" t="s">
        <v>231</v>
      </c>
      <c r="C136" s="132"/>
      <c r="D136" s="132"/>
      <c r="E136" s="132"/>
      <c r="F136" s="132"/>
      <c r="G136" s="127"/>
      <c r="H136" s="128"/>
      <c r="I136" s="130"/>
      <c r="J136" s="7"/>
      <c r="K136" s="159" t="s">
        <v>228</v>
      </c>
      <c r="L136" s="160"/>
      <c r="M136" s="160"/>
      <c r="N136" s="160"/>
      <c r="O136" s="160"/>
      <c r="P136" s="150"/>
      <c r="Q136" s="151"/>
      <c r="R136" s="11" t="s">
        <v>229</v>
      </c>
    </row>
    <row r="137" spans="1:18" ht="15.75" thickBot="1" x14ac:dyDescent="0.3">
      <c r="A137" s="12"/>
      <c r="B137" s="133" t="s">
        <v>232</v>
      </c>
      <c r="C137" s="134"/>
      <c r="D137" s="134"/>
      <c r="E137" s="134"/>
      <c r="F137" s="134"/>
      <c r="G137" s="135"/>
      <c r="H137" s="136"/>
      <c r="I137" s="14"/>
      <c r="J137" s="13"/>
      <c r="K137" s="125" t="s">
        <v>230</v>
      </c>
      <c r="L137" s="126"/>
      <c r="M137" s="126"/>
      <c r="N137" s="126"/>
      <c r="O137" s="126"/>
      <c r="P137" s="86">
        <f>0.048*12*O122</f>
        <v>6187.5072000000009</v>
      </c>
      <c r="Q137" s="87"/>
      <c r="R137" s="129" t="s">
        <v>220</v>
      </c>
    </row>
    <row r="138" spans="1:18" ht="15.75" thickBot="1" x14ac:dyDescent="0.3">
      <c r="A138" s="7"/>
      <c r="B138" s="84" t="s">
        <v>233</v>
      </c>
      <c r="C138" s="85"/>
      <c r="D138" s="85"/>
      <c r="E138" s="85"/>
      <c r="F138" s="85"/>
      <c r="G138" s="86">
        <f>1.2*F120*12</f>
        <v>116281.44</v>
      </c>
      <c r="H138" s="87"/>
      <c r="I138" s="92" t="s">
        <v>459</v>
      </c>
      <c r="J138" s="13"/>
      <c r="K138" s="131" t="s">
        <v>231</v>
      </c>
      <c r="L138" s="132"/>
      <c r="M138" s="132"/>
      <c r="N138" s="132"/>
      <c r="O138" s="132"/>
      <c r="P138" s="127"/>
      <c r="Q138" s="128"/>
      <c r="R138" s="130"/>
    </row>
    <row r="139" spans="1:18" ht="39.75" customHeight="1" thickBot="1" x14ac:dyDescent="0.3">
      <c r="A139" s="13"/>
      <c r="B139" s="121" t="s">
        <v>226</v>
      </c>
      <c r="C139" s="122"/>
      <c r="D139" s="122"/>
      <c r="E139" s="122"/>
      <c r="F139" s="122"/>
      <c r="G139" s="88"/>
      <c r="H139" s="89"/>
      <c r="I139" s="93"/>
      <c r="J139" s="118"/>
      <c r="K139" s="133" t="s">
        <v>232</v>
      </c>
      <c r="L139" s="134"/>
      <c r="M139" s="134"/>
      <c r="N139" s="134"/>
      <c r="O139" s="134"/>
      <c r="P139" s="135"/>
      <c r="Q139" s="136"/>
      <c r="R139" s="14"/>
    </row>
    <row r="140" spans="1:18" ht="28.5" customHeight="1" thickBot="1" x14ac:dyDescent="0.3">
      <c r="A140" s="13"/>
      <c r="B140" s="121" t="s">
        <v>227</v>
      </c>
      <c r="C140" s="122"/>
      <c r="D140" s="122"/>
      <c r="E140" s="122"/>
      <c r="F140" s="122"/>
      <c r="G140" s="88"/>
      <c r="H140" s="89"/>
      <c r="I140" s="93"/>
      <c r="J140" s="119"/>
      <c r="K140" s="84" t="s">
        <v>233</v>
      </c>
      <c r="L140" s="85"/>
      <c r="M140" s="85"/>
      <c r="N140" s="85"/>
      <c r="O140" s="85"/>
      <c r="P140" s="86">
        <f>1*O122*12</f>
        <v>128906.40000000001</v>
      </c>
      <c r="Q140" s="87"/>
      <c r="R140" s="92" t="s">
        <v>461</v>
      </c>
    </row>
    <row r="141" spans="1:18" ht="33.75" customHeight="1" x14ac:dyDescent="0.25">
      <c r="A141" s="118"/>
      <c r="B141" s="121" t="s">
        <v>228</v>
      </c>
      <c r="C141" s="122"/>
      <c r="D141" s="122"/>
      <c r="E141" s="122"/>
      <c r="F141" s="122"/>
      <c r="G141" s="88"/>
      <c r="H141" s="89"/>
      <c r="I141" s="93"/>
      <c r="J141" s="119"/>
      <c r="K141" s="121" t="s">
        <v>226</v>
      </c>
      <c r="L141" s="122"/>
      <c r="M141" s="122"/>
      <c r="N141" s="122"/>
      <c r="O141" s="122"/>
      <c r="P141" s="88"/>
      <c r="Q141" s="89"/>
      <c r="R141" s="93"/>
    </row>
    <row r="142" spans="1:18" ht="35.25" customHeight="1" thickBot="1" x14ac:dyDescent="0.3">
      <c r="A142" s="119"/>
      <c r="B142" s="123" t="s">
        <v>234</v>
      </c>
      <c r="C142" s="124"/>
      <c r="D142" s="124"/>
      <c r="E142" s="124"/>
      <c r="F142" s="124"/>
      <c r="G142" s="90"/>
      <c r="H142" s="91"/>
      <c r="I142" s="94"/>
      <c r="J142" s="120"/>
      <c r="K142" s="121" t="s">
        <v>227</v>
      </c>
      <c r="L142" s="122"/>
      <c r="M142" s="122"/>
      <c r="N142" s="122"/>
      <c r="O142" s="122"/>
      <c r="P142" s="88"/>
      <c r="Q142" s="89"/>
      <c r="R142" s="93"/>
    </row>
    <row r="143" spans="1:18" ht="50.25" customHeight="1" thickBot="1" x14ac:dyDescent="0.3">
      <c r="A143" s="119"/>
      <c r="B143" s="137"/>
      <c r="C143" s="138"/>
      <c r="D143" s="138"/>
      <c r="E143" s="138"/>
      <c r="F143" s="138"/>
      <c r="G143" s="139"/>
      <c r="H143" s="140"/>
      <c r="I143" s="16"/>
      <c r="J143" s="15"/>
      <c r="K143" s="121" t="s">
        <v>228</v>
      </c>
      <c r="L143" s="122"/>
      <c r="M143" s="122"/>
      <c r="N143" s="122"/>
      <c r="O143" s="122"/>
      <c r="P143" s="88"/>
      <c r="Q143" s="89"/>
      <c r="R143" s="93"/>
    </row>
    <row r="144" spans="1:18" ht="2.25" customHeight="1" thickBot="1" x14ac:dyDescent="0.3">
      <c r="A144" s="120"/>
      <c r="B144" s="137" t="s">
        <v>235</v>
      </c>
      <c r="C144" s="138"/>
      <c r="D144" s="138"/>
      <c r="E144" s="138"/>
      <c r="F144" s="138"/>
      <c r="G144" s="139"/>
      <c r="H144" s="140"/>
      <c r="I144" s="16"/>
      <c r="J144" s="15"/>
      <c r="K144" s="123" t="s">
        <v>234</v>
      </c>
      <c r="L144" s="124"/>
      <c r="M144" s="124"/>
      <c r="N144" s="124"/>
      <c r="O144" s="124"/>
      <c r="P144" s="90"/>
      <c r="Q144" s="91"/>
      <c r="R144" s="94"/>
    </row>
    <row r="145" spans="1:18" ht="15.75" customHeight="1" thickBot="1" x14ac:dyDescent="0.3">
      <c r="A145" s="15"/>
      <c r="B145" s="78" t="s">
        <v>237</v>
      </c>
      <c r="C145" s="79"/>
      <c r="D145" s="79"/>
      <c r="E145" s="79"/>
      <c r="F145" s="79"/>
      <c r="G145" s="86">
        <f>24633+15716</f>
        <v>40349</v>
      </c>
      <c r="H145" s="87"/>
      <c r="I145" s="108" t="s">
        <v>229</v>
      </c>
      <c r="J145" s="17"/>
      <c r="K145" s="137"/>
      <c r="L145" s="138"/>
      <c r="M145" s="138"/>
      <c r="N145" s="138"/>
      <c r="O145" s="138"/>
      <c r="P145" s="139"/>
      <c r="Q145" s="140"/>
      <c r="R145" s="16"/>
    </row>
    <row r="146" spans="1:18" ht="26.25" customHeight="1" thickBot="1" x14ac:dyDescent="0.3">
      <c r="A146" s="15"/>
      <c r="B146" s="110" t="s">
        <v>238</v>
      </c>
      <c r="C146" s="111"/>
      <c r="D146" s="111"/>
      <c r="E146" s="111"/>
      <c r="F146" s="111"/>
      <c r="G146" s="90"/>
      <c r="H146" s="91"/>
      <c r="I146" s="109"/>
      <c r="J146" s="18"/>
      <c r="K146" s="137" t="s">
        <v>235</v>
      </c>
      <c r="L146" s="138"/>
      <c r="M146" s="138"/>
      <c r="N146" s="138"/>
      <c r="O146" s="138"/>
      <c r="P146" s="139"/>
      <c r="Q146" s="140"/>
      <c r="R146" s="16"/>
    </row>
    <row r="147" spans="1:18" ht="36" customHeight="1" thickBot="1" x14ac:dyDescent="0.3">
      <c r="A147" s="17"/>
      <c r="B147" s="112" t="s">
        <v>239</v>
      </c>
      <c r="C147" s="113"/>
      <c r="D147" s="113"/>
      <c r="E147" s="113"/>
      <c r="F147" s="113"/>
      <c r="G147" s="114">
        <f>G126+G129+G130+G131+G135+G138+G144+G145</f>
        <v>604148.54240000003</v>
      </c>
      <c r="H147" s="115"/>
      <c r="I147" s="20"/>
      <c r="J147" s="19"/>
      <c r="K147" s="78" t="s">
        <v>237</v>
      </c>
      <c r="L147" s="79"/>
      <c r="M147" s="79"/>
      <c r="N147" s="79"/>
      <c r="O147" s="79"/>
      <c r="P147" s="86">
        <f>30363+14805</f>
        <v>45168</v>
      </c>
      <c r="Q147" s="87"/>
      <c r="R147" s="108" t="s">
        <v>229</v>
      </c>
    </row>
    <row r="148" spans="1:18" ht="15.75" thickBot="1" x14ac:dyDescent="0.3">
      <c r="A148" s="18"/>
      <c r="B148" s="101" t="s">
        <v>240</v>
      </c>
      <c r="C148" s="102"/>
      <c r="D148" s="102"/>
      <c r="E148" s="102"/>
      <c r="F148" s="102"/>
      <c r="G148" s="116">
        <f>G147*1.2</f>
        <v>724978.25088000007</v>
      </c>
      <c r="H148" s="117"/>
      <c r="I148" s="22"/>
      <c r="J148" s="21"/>
      <c r="K148" s="110" t="s">
        <v>238</v>
      </c>
      <c r="L148" s="111"/>
      <c r="M148" s="111"/>
      <c r="N148" s="111"/>
      <c r="O148" s="111"/>
      <c r="P148" s="90"/>
      <c r="Q148" s="91"/>
      <c r="R148" s="109"/>
    </row>
    <row r="149" spans="1:18" ht="15.75" thickBot="1" x14ac:dyDescent="0.3">
      <c r="A149" s="19"/>
      <c r="B149" s="96" t="s">
        <v>443</v>
      </c>
      <c r="C149" s="97"/>
      <c r="D149" s="97"/>
      <c r="E149" s="97"/>
      <c r="F149" s="97"/>
      <c r="G149" s="98">
        <v>740850.55</v>
      </c>
      <c r="H149" s="99"/>
      <c r="I149" s="100"/>
      <c r="J149" s="24"/>
      <c r="K149" s="112" t="s">
        <v>239</v>
      </c>
      <c r="L149" s="113"/>
      <c r="M149" s="113"/>
      <c r="N149" s="113"/>
      <c r="O149" s="113"/>
      <c r="P149" s="114">
        <f>SUM(P128:Q148)</f>
        <v>742037.1888</v>
      </c>
      <c r="Q149" s="115"/>
      <c r="R149" s="20"/>
    </row>
    <row r="150" spans="1:18" ht="15.75" customHeight="1" thickBot="1" x14ac:dyDescent="0.3">
      <c r="A150" s="21"/>
      <c r="B150" s="101" t="s">
        <v>242</v>
      </c>
      <c r="C150" s="102"/>
      <c r="D150" s="102"/>
      <c r="E150" s="102"/>
      <c r="F150" s="102"/>
      <c r="G150" s="103">
        <v>710886.34</v>
      </c>
      <c r="H150" s="104"/>
      <c r="I150" s="105"/>
      <c r="J150" s="19"/>
      <c r="K150" s="101" t="s">
        <v>240</v>
      </c>
      <c r="L150" s="102"/>
      <c r="M150" s="102"/>
      <c r="N150" s="102"/>
      <c r="O150" s="102"/>
      <c r="P150" s="116">
        <f>P149*1.2</f>
        <v>890444.62656</v>
      </c>
      <c r="Q150" s="117"/>
      <c r="R150" s="22"/>
    </row>
    <row r="151" spans="1:18" ht="15.75" thickBot="1" x14ac:dyDescent="0.3">
      <c r="A151" s="24"/>
      <c r="B151" s="106" t="s">
        <v>444</v>
      </c>
      <c r="C151" s="107"/>
      <c r="D151" s="107"/>
      <c r="E151" s="107"/>
      <c r="F151" s="107"/>
      <c r="G151" s="103">
        <v>127170.81</v>
      </c>
      <c r="H151" s="104"/>
      <c r="I151" s="105"/>
      <c r="J151" s="19"/>
      <c r="K151" s="96" t="s">
        <v>443</v>
      </c>
      <c r="L151" s="97"/>
      <c r="M151" s="97"/>
      <c r="N151" s="97"/>
      <c r="O151" s="97"/>
      <c r="P151" s="98">
        <v>886589.67</v>
      </c>
      <c r="Q151" s="99"/>
      <c r="R151" s="100"/>
    </row>
    <row r="152" spans="1:18" ht="15.75" thickBot="1" x14ac:dyDescent="0.3">
      <c r="A152" s="19"/>
      <c r="B152" s="26"/>
      <c r="C152" s="26"/>
      <c r="D152" s="26"/>
      <c r="E152" s="26"/>
      <c r="F152" s="26"/>
      <c r="G152" s="27"/>
      <c r="H152" s="3"/>
      <c r="I152" s="3"/>
      <c r="J152" s="4"/>
      <c r="K152" s="101" t="s">
        <v>242</v>
      </c>
      <c r="L152" s="102"/>
      <c r="M152" s="102"/>
      <c r="N152" s="102"/>
      <c r="O152" s="102"/>
      <c r="P152" s="103">
        <v>879268.87</v>
      </c>
      <c r="Q152" s="104"/>
      <c r="R152" s="105"/>
    </row>
    <row r="153" spans="1:18" ht="15.75" thickBot="1" x14ac:dyDescent="0.3">
      <c r="A153" s="19"/>
      <c r="I153" s="5"/>
      <c r="K153" s="106" t="s">
        <v>444</v>
      </c>
      <c r="L153" s="107"/>
      <c r="M153" s="107"/>
      <c r="N153" s="107"/>
      <c r="O153" s="107"/>
      <c r="P153" s="103">
        <v>144473.76</v>
      </c>
      <c r="Q153" s="104"/>
      <c r="R153" s="105"/>
    </row>
    <row r="154" spans="1:18" ht="44.25" customHeight="1" x14ac:dyDescent="0.25">
      <c r="A154" s="4"/>
      <c r="B154" s="3"/>
      <c r="C154" s="3"/>
      <c r="D154" s="3"/>
      <c r="E154" s="4" t="s">
        <v>204</v>
      </c>
      <c r="F154" s="3"/>
      <c r="G154" s="3"/>
      <c r="H154" s="3"/>
      <c r="I154" s="3"/>
      <c r="J154" s="3"/>
      <c r="K154" s="195" t="s">
        <v>460</v>
      </c>
      <c r="L154" s="195"/>
      <c r="M154" s="195"/>
      <c r="N154" s="195"/>
      <c r="O154" s="195"/>
      <c r="P154" s="195"/>
      <c r="Q154" s="195"/>
      <c r="R154" s="195"/>
    </row>
    <row r="155" spans="1:18" x14ac:dyDescent="0.25">
      <c r="B155" s="3"/>
      <c r="C155" s="3"/>
      <c r="D155" s="3" t="s">
        <v>244</v>
      </c>
      <c r="E155" s="3"/>
      <c r="F155" s="3"/>
      <c r="G155" s="3"/>
      <c r="H155" s="3"/>
      <c r="I155" s="3"/>
      <c r="J155" s="3" t="s">
        <v>205</v>
      </c>
    </row>
    <row r="156" spans="1:18" ht="15.75" customHeight="1" x14ac:dyDescent="0.25">
      <c r="A156" s="3"/>
      <c r="B156" s="5" t="s">
        <v>440</v>
      </c>
      <c r="C156" s="3"/>
      <c r="D156" s="3"/>
      <c r="E156" s="3"/>
      <c r="F156" s="3"/>
      <c r="G156" s="3"/>
      <c r="H156" s="3"/>
      <c r="I156" s="3"/>
      <c r="J156" s="3"/>
      <c r="K156" s="3"/>
      <c r="L156" s="3"/>
      <c r="M156" s="3"/>
      <c r="N156" s="4" t="s">
        <v>204</v>
      </c>
      <c r="O156" s="3"/>
      <c r="P156" s="3"/>
      <c r="Q156" s="3"/>
      <c r="R156" s="3"/>
    </row>
    <row r="157" spans="1:18" ht="15.75" customHeight="1" x14ac:dyDescent="0.25">
      <c r="A157" s="3" t="s">
        <v>205</v>
      </c>
      <c r="B157" s="5" t="s">
        <v>206</v>
      </c>
      <c r="C157" s="3"/>
      <c r="D157" s="3"/>
      <c r="E157" s="3"/>
      <c r="F157" s="3">
        <v>8531.6</v>
      </c>
      <c r="G157" s="3" t="s">
        <v>207</v>
      </c>
      <c r="H157" s="3"/>
      <c r="I157" s="3"/>
      <c r="J157" s="3"/>
      <c r="K157" s="3"/>
      <c r="L157" s="3"/>
      <c r="M157" s="3" t="s">
        <v>245</v>
      </c>
      <c r="N157" s="3"/>
      <c r="O157" s="3"/>
      <c r="P157" s="3"/>
      <c r="Q157" s="3"/>
      <c r="R157" s="3"/>
    </row>
    <row r="158" spans="1:18" ht="24.75" customHeight="1" thickBot="1" x14ac:dyDescent="0.3">
      <c r="A158" s="3"/>
      <c r="B158" s="3"/>
      <c r="C158" s="3"/>
      <c r="D158" s="3"/>
      <c r="E158" s="3"/>
      <c r="F158" s="3"/>
      <c r="G158" s="3"/>
      <c r="H158" s="3"/>
      <c r="I158" s="3"/>
      <c r="J158" s="3"/>
      <c r="K158" s="5" t="s">
        <v>440</v>
      </c>
      <c r="L158" s="3"/>
      <c r="M158" s="3"/>
      <c r="N158" s="3"/>
      <c r="O158" s="3"/>
      <c r="P158" s="3"/>
      <c r="Q158" s="3"/>
      <c r="R158" s="3"/>
    </row>
    <row r="159" spans="1:18" ht="15.75" customHeight="1" x14ac:dyDescent="0.25">
      <c r="A159" s="3"/>
      <c r="B159" s="177" t="s">
        <v>210</v>
      </c>
      <c r="C159" s="178"/>
      <c r="D159" s="178"/>
      <c r="E159" s="178"/>
      <c r="F159" s="178"/>
      <c r="G159" s="180" t="s">
        <v>441</v>
      </c>
      <c r="H159" s="181"/>
      <c r="I159" s="175" t="s">
        <v>212</v>
      </c>
      <c r="J159" s="175" t="s">
        <v>209</v>
      </c>
      <c r="K159" s="5" t="s">
        <v>206</v>
      </c>
      <c r="L159" s="3"/>
      <c r="M159" s="3"/>
      <c r="N159" s="3"/>
      <c r="O159" s="3">
        <v>13832.2</v>
      </c>
      <c r="P159" s="3" t="s">
        <v>207</v>
      </c>
      <c r="Q159" s="3"/>
      <c r="R159" s="3"/>
    </row>
    <row r="160" spans="1:18" ht="34.5" customHeight="1" thickBot="1" x14ac:dyDescent="0.3">
      <c r="A160" s="3"/>
      <c r="B160" s="179"/>
      <c r="C160" s="179"/>
      <c r="D160" s="179"/>
      <c r="E160" s="179"/>
      <c r="F160" s="179"/>
      <c r="G160" s="182"/>
      <c r="H160" s="183"/>
      <c r="I160" s="184"/>
      <c r="J160" s="176"/>
      <c r="K160" s="3"/>
      <c r="L160" s="3"/>
      <c r="M160" s="3"/>
      <c r="N160" s="3"/>
      <c r="O160" s="3"/>
      <c r="P160" s="3"/>
      <c r="Q160" s="3"/>
      <c r="R160" s="3"/>
    </row>
    <row r="161" spans="1:18" ht="13.5" customHeight="1" x14ac:dyDescent="0.25">
      <c r="A161" s="175" t="s">
        <v>209</v>
      </c>
      <c r="B161" s="187" t="s">
        <v>354</v>
      </c>
      <c r="C161" s="188"/>
      <c r="D161" s="188"/>
      <c r="E161" s="188"/>
      <c r="F161" s="188"/>
      <c r="G161" s="190">
        <v>160959.29</v>
      </c>
      <c r="H161" s="191"/>
      <c r="I161" s="192"/>
      <c r="J161" s="185" t="s">
        <v>213</v>
      </c>
      <c r="K161" s="177" t="s">
        <v>210</v>
      </c>
      <c r="L161" s="178"/>
      <c r="M161" s="178"/>
      <c r="N161" s="178"/>
      <c r="O161" s="178"/>
      <c r="P161" s="180" t="s">
        <v>441</v>
      </c>
      <c r="Q161" s="181"/>
      <c r="R161" s="175" t="s">
        <v>212</v>
      </c>
    </row>
    <row r="162" spans="1:18" ht="41.25" customHeight="1" thickBot="1" x14ac:dyDescent="0.3">
      <c r="A162" s="176"/>
      <c r="B162" s="189"/>
      <c r="C162" s="189"/>
      <c r="D162" s="189"/>
      <c r="E162" s="189"/>
      <c r="F162" s="189"/>
      <c r="G162" s="193"/>
      <c r="H162" s="194"/>
      <c r="I162" s="128"/>
      <c r="J162" s="186"/>
      <c r="K162" s="179"/>
      <c r="L162" s="179"/>
      <c r="M162" s="179"/>
      <c r="N162" s="179"/>
      <c r="O162" s="179"/>
      <c r="P162" s="182"/>
      <c r="Q162" s="183"/>
      <c r="R162" s="184"/>
    </row>
    <row r="163" spans="1:18" x14ac:dyDescent="0.25">
      <c r="A163" s="185" t="s">
        <v>213</v>
      </c>
      <c r="B163" s="161" t="s">
        <v>214</v>
      </c>
      <c r="C163" s="162"/>
      <c r="D163" s="162"/>
      <c r="E163" s="162"/>
      <c r="F163" s="162"/>
      <c r="G163" s="163">
        <f>1.44*12*F157</f>
        <v>147426.04800000001</v>
      </c>
      <c r="H163" s="164"/>
      <c r="I163" s="169" t="s">
        <v>215</v>
      </c>
      <c r="J163" s="6"/>
      <c r="K163" s="187" t="s">
        <v>354</v>
      </c>
      <c r="L163" s="188"/>
      <c r="M163" s="188"/>
      <c r="N163" s="188"/>
      <c r="O163" s="188"/>
      <c r="P163" s="190">
        <v>275658.28999999998</v>
      </c>
      <c r="Q163" s="191"/>
      <c r="R163" s="192"/>
    </row>
    <row r="164" spans="1:18" ht="16.5" customHeight="1" thickBot="1" x14ac:dyDescent="0.3">
      <c r="A164" s="186"/>
      <c r="B164" s="171" t="s">
        <v>216</v>
      </c>
      <c r="C164" s="172"/>
      <c r="D164" s="172"/>
      <c r="E164" s="172"/>
      <c r="F164" s="172"/>
      <c r="G164" s="165"/>
      <c r="H164" s="166"/>
      <c r="I164" s="170"/>
      <c r="J164" s="7"/>
      <c r="K164" s="189"/>
      <c r="L164" s="189"/>
      <c r="M164" s="189"/>
      <c r="N164" s="189"/>
      <c r="O164" s="189"/>
      <c r="P164" s="193"/>
      <c r="Q164" s="194"/>
      <c r="R164" s="128"/>
    </row>
    <row r="165" spans="1:18" ht="15.75" thickBot="1" x14ac:dyDescent="0.3">
      <c r="A165" s="6"/>
      <c r="B165" s="173" t="s">
        <v>217</v>
      </c>
      <c r="C165" s="174"/>
      <c r="D165" s="174"/>
      <c r="E165" s="174"/>
      <c r="F165" s="174"/>
      <c r="G165" s="167"/>
      <c r="H165" s="168"/>
      <c r="I165" s="8" t="s">
        <v>218</v>
      </c>
      <c r="J165" s="7"/>
      <c r="K165" s="161" t="s">
        <v>214</v>
      </c>
      <c r="L165" s="162"/>
      <c r="M165" s="162"/>
      <c r="N165" s="162"/>
      <c r="O165" s="162"/>
      <c r="P165" s="163">
        <f>1.55*O159*12</f>
        <v>257278.92000000004</v>
      </c>
      <c r="Q165" s="164"/>
      <c r="R165" s="169" t="s">
        <v>215</v>
      </c>
    </row>
    <row r="166" spans="1:18" ht="15.75" thickBot="1" x14ac:dyDescent="0.3">
      <c r="A166" s="7"/>
      <c r="B166" s="141" t="s">
        <v>219</v>
      </c>
      <c r="C166" s="142"/>
      <c r="D166" s="142"/>
      <c r="E166" s="142"/>
      <c r="F166" s="142"/>
      <c r="G166" s="143">
        <f>1748.85*4*12</f>
        <v>83944.799999999988</v>
      </c>
      <c r="H166" s="144"/>
      <c r="I166" s="8" t="s">
        <v>220</v>
      </c>
      <c r="J166" s="7"/>
      <c r="K166" s="171" t="s">
        <v>216</v>
      </c>
      <c r="L166" s="172"/>
      <c r="M166" s="172"/>
      <c r="N166" s="172"/>
      <c r="O166" s="172"/>
      <c r="P166" s="165"/>
      <c r="Q166" s="166"/>
      <c r="R166" s="170"/>
    </row>
    <row r="167" spans="1:18" ht="15.75" thickBot="1" x14ac:dyDescent="0.3">
      <c r="A167" s="7"/>
      <c r="B167" s="141" t="s">
        <v>221</v>
      </c>
      <c r="C167" s="142"/>
      <c r="D167" s="142"/>
      <c r="E167" s="142"/>
      <c r="F167" s="142"/>
      <c r="G167" s="143">
        <f>0.474*F157*12</f>
        <v>48527.7408</v>
      </c>
      <c r="H167" s="144"/>
      <c r="I167" s="8" t="s">
        <v>222</v>
      </c>
      <c r="J167" s="7"/>
      <c r="K167" s="173" t="s">
        <v>217</v>
      </c>
      <c r="L167" s="174"/>
      <c r="M167" s="174"/>
      <c r="N167" s="174"/>
      <c r="O167" s="174"/>
      <c r="P167" s="167"/>
      <c r="Q167" s="168"/>
      <c r="R167" s="8" t="s">
        <v>218</v>
      </c>
    </row>
    <row r="168" spans="1:18" ht="14.25" customHeight="1" thickBot="1" x14ac:dyDescent="0.3">
      <c r="A168" s="7"/>
      <c r="B168" s="145" t="s">
        <v>223</v>
      </c>
      <c r="C168" s="146"/>
      <c r="D168" s="146"/>
      <c r="E168" s="146"/>
      <c r="F168" s="146"/>
      <c r="G168" s="86">
        <f>1.99*F157*12</f>
        <v>203734.60800000001</v>
      </c>
      <c r="H168" s="147"/>
      <c r="I168" s="152" t="s">
        <v>224</v>
      </c>
      <c r="J168" s="9"/>
      <c r="K168" s="141" t="s">
        <v>219</v>
      </c>
      <c r="L168" s="142"/>
      <c r="M168" s="142"/>
      <c r="N168" s="142"/>
      <c r="O168" s="142"/>
      <c r="P168" s="143">
        <f>1748.85*7*12</f>
        <v>146903.4</v>
      </c>
      <c r="Q168" s="144"/>
      <c r="R168" s="8" t="s">
        <v>220</v>
      </c>
    </row>
    <row r="169" spans="1:18" ht="15.75" thickBot="1" x14ac:dyDescent="0.3">
      <c r="A169" s="7"/>
      <c r="B169" s="155" t="s">
        <v>226</v>
      </c>
      <c r="C169" s="156"/>
      <c r="D169" s="156"/>
      <c r="E169" s="156"/>
      <c r="F169" s="156"/>
      <c r="G169" s="148"/>
      <c r="H169" s="149"/>
      <c r="I169" s="153"/>
      <c r="J169" s="10"/>
      <c r="K169" s="141" t="s">
        <v>221</v>
      </c>
      <c r="L169" s="142"/>
      <c r="M169" s="142"/>
      <c r="N169" s="142"/>
      <c r="O169" s="142"/>
      <c r="P169" s="143">
        <f>0.474*O159*12</f>
        <v>78677.553599999999</v>
      </c>
      <c r="Q169" s="144"/>
      <c r="R169" s="8" t="s">
        <v>222</v>
      </c>
    </row>
    <row r="170" spans="1:18" ht="15.75" thickBot="1" x14ac:dyDescent="0.3">
      <c r="A170" s="9"/>
      <c r="B170" s="157" t="s">
        <v>227</v>
      </c>
      <c r="C170" s="158"/>
      <c r="D170" s="158"/>
      <c r="E170" s="158"/>
      <c r="F170" s="158"/>
      <c r="G170" s="148"/>
      <c r="H170" s="149"/>
      <c r="I170" s="154"/>
      <c r="J170" s="10"/>
      <c r="K170" s="145" t="s">
        <v>223</v>
      </c>
      <c r="L170" s="146"/>
      <c r="M170" s="146"/>
      <c r="N170" s="146"/>
      <c r="O170" s="146"/>
      <c r="P170" s="86">
        <f>2.19*O159*12</f>
        <v>363510.21600000001</v>
      </c>
      <c r="Q170" s="147"/>
      <c r="R170" s="152" t="s">
        <v>224</v>
      </c>
    </row>
    <row r="171" spans="1:18" ht="15.75" thickBot="1" x14ac:dyDescent="0.3">
      <c r="A171" s="10"/>
      <c r="B171" s="159" t="s">
        <v>228</v>
      </c>
      <c r="C171" s="160"/>
      <c r="D171" s="160"/>
      <c r="E171" s="160"/>
      <c r="F171" s="160"/>
      <c r="G171" s="150"/>
      <c r="H171" s="151"/>
      <c r="I171" s="11" t="s">
        <v>229</v>
      </c>
      <c r="J171" s="10"/>
      <c r="K171" s="155" t="s">
        <v>226</v>
      </c>
      <c r="L171" s="156"/>
      <c r="M171" s="156"/>
      <c r="N171" s="156"/>
      <c r="O171" s="156"/>
      <c r="P171" s="148"/>
      <c r="Q171" s="149"/>
      <c r="R171" s="153"/>
    </row>
    <row r="172" spans="1:18" ht="15.75" thickBot="1" x14ac:dyDescent="0.3">
      <c r="A172" s="10"/>
      <c r="B172" s="125" t="s">
        <v>230</v>
      </c>
      <c r="C172" s="126"/>
      <c r="D172" s="126"/>
      <c r="E172" s="126"/>
      <c r="F172" s="126"/>
      <c r="G172" s="86">
        <f>0.048*12*F157</f>
        <v>4914.2016000000012</v>
      </c>
      <c r="H172" s="87"/>
      <c r="I172" s="129" t="s">
        <v>220</v>
      </c>
      <c r="J172" s="12"/>
      <c r="K172" s="157" t="s">
        <v>227</v>
      </c>
      <c r="L172" s="158"/>
      <c r="M172" s="158"/>
      <c r="N172" s="158"/>
      <c r="O172" s="158"/>
      <c r="P172" s="148"/>
      <c r="Q172" s="149"/>
      <c r="R172" s="154"/>
    </row>
    <row r="173" spans="1:18" ht="33" customHeight="1" thickBot="1" x14ac:dyDescent="0.3">
      <c r="A173" s="10"/>
      <c r="B173" s="131" t="s">
        <v>231</v>
      </c>
      <c r="C173" s="132"/>
      <c r="D173" s="132"/>
      <c r="E173" s="132"/>
      <c r="F173" s="132"/>
      <c r="G173" s="127"/>
      <c r="H173" s="128"/>
      <c r="I173" s="130"/>
      <c r="J173" s="7"/>
      <c r="K173" s="159" t="s">
        <v>228</v>
      </c>
      <c r="L173" s="160"/>
      <c r="M173" s="160"/>
      <c r="N173" s="160"/>
      <c r="O173" s="160"/>
      <c r="P173" s="150"/>
      <c r="Q173" s="151"/>
      <c r="R173" s="11" t="s">
        <v>229</v>
      </c>
    </row>
    <row r="174" spans="1:18" ht="39.75" customHeight="1" thickBot="1" x14ac:dyDescent="0.3">
      <c r="A174" s="12"/>
      <c r="B174" s="133" t="s">
        <v>232</v>
      </c>
      <c r="C174" s="134"/>
      <c r="D174" s="134"/>
      <c r="E174" s="134"/>
      <c r="F174" s="134"/>
      <c r="G174" s="135"/>
      <c r="H174" s="136"/>
      <c r="I174" s="14"/>
      <c r="J174" s="13"/>
      <c r="K174" s="125" t="s">
        <v>230</v>
      </c>
      <c r="L174" s="126"/>
      <c r="M174" s="126"/>
      <c r="N174" s="126"/>
      <c r="O174" s="126"/>
      <c r="P174" s="86">
        <f>0.048*12*O159</f>
        <v>7967.3472000000011</v>
      </c>
      <c r="Q174" s="87"/>
      <c r="R174" s="129" t="s">
        <v>220</v>
      </c>
    </row>
    <row r="175" spans="1:18" ht="32.25" customHeight="1" thickBot="1" x14ac:dyDescent="0.3">
      <c r="A175" s="7"/>
      <c r="B175" s="84" t="s">
        <v>233</v>
      </c>
      <c r="C175" s="85"/>
      <c r="D175" s="85"/>
      <c r="E175" s="85"/>
      <c r="F175" s="85"/>
      <c r="G175" s="86">
        <f>1.1*F157*12</f>
        <v>112617.12000000002</v>
      </c>
      <c r="H175" s="87"/>
      <c r="I175" s="92" t="s">
        <v>454</v>
      </c>
      <c r="J175" s="13"/>
      <c r="K175" s="131" t="s">
        <v>231</v>
      </c>
      <c r="L175" s="132"/>
      <c r="M175" s="132"/>
      <c r="N175" s="132"/>
      <c r="O175" s="132"/>
      <c r="P175" s="127"/>
      <c r="Q175" s="128"/>
      <c r="R175" s="130"/>
    </row>
    <row r="176" spans="1:18" ht="45.75" customHeight="1" thickBot="1" x14ac:dyDescent="0.3">
      <c r="A176" s="13"/>
      <c r="B176" s="121" t="s">
        <v>226</v>
      </c>
      <c r="C176" s="122"/>
      <c r="D176" s="122"/>
      <c r="E176" s="122"/>
      <c r="F176" s="122"/>
      <c r="G176" s="88"/>
      <c r="H176" s="89"/>
      <c r="I176" s="93"/>
      <c r="J176" s="118"/>
      <c r="K176" s="133" t="s">
        <v>232</v>
      </c>
      <c r="L176" s="134"/>
      <c r="M176" s="134"/>
      <c r="N176" s="134"/>
      <c r="O176" s="134"/>
      <c r="P176" s="135"/>
      <c r="Q176" s="136"/>
      <c r="R176" s="14"/>
    </row>
    <row r="177" spans="1:18" ht="63.75" customHeight="1" thickBot="1" x14ac:dyDescent="0.3">
      <c r="A177" s="13"/>
      <c r="B177" s="121" t="s">
        <v>227</v>
      </c>
      <c r="C177" s="122"/>
      <c r="D177" s="122"/>
      <c r="E177" s="122"/>
      <c r="F177" s="122"/>
      <c r="G177" s="88"/>
      <c r="H177" s="89"/>
      <c r="I177" s="93"/>
      <c r="J177" s="119"/>
      <c r="K177" s="84" t="s">
        <v>233</v>
      </c>
      <c r="L177" s="85"/>
      <c r="M177" s="85"/>
      <c r="N177" s="85"/>
      <c r="O177" s="85"/>
      <c r="P177" s="86">
        <f>1*O159*12</f>
        <v>165986.40000000002</v>
      </c>
      <c r="Q177" s="87"/>
      <c r="R177" s="92" t="s">
        <v>455</v>
      </c>
    </row>
    <row r="178" spans="1:18" ht="15.75" customHeight="1" x14ac:dyDescent="0.25">
      <c r="A178" s="118"/>
      <c r="B178" s="121" t="s">
        <v>228</v>
      </c>
      <c r="C178" s="122"/>
      <c r="D178" s="122"/>
      <c r="E178" s="122"/>
      <c r="F178" s="122"/>
      <c r="G178" s="88"/>
      <c r="H178" s="89"/>
      <c r="I178" s="93"/>
      <c r="J178" s="119"/>
      <c r="K178" s="121" t="s">
        <v>226</v>
      </c>
      <c r="L178" s="122"/>
      <c r="M178" s="122"/>
      <c r="N178" s="122"/>
      <c r="O178" s="122"/>
      <c r="P178" s="88"/>
      <c r="Q178" s="89"/>
      <c r="R178" s="93"/>
    </row>
    <row r="179" spans="1:18" ht="15.75" thickBot="1" x14ac:dyDescent="0.3">
      <c r="A179" s="119"/>
      <c r="B179" s="123" t="s">
        <v>234</v>
      </c>
      <c r="C179" s="124"/>
      <c r="D179" s="124"/>
      <c r="E179" s="124"/>
      <c r="F179" s="124"/>
      <c r="G179" s="90"/>
      <c r="H179" s="91"/>
      <c r="I179" s="94"/>
      <c r="J179" s="120"/>
      <c r="K179" s="121" t="s">
        <v>227</v>
      </c>
      <c r="L179" s="122"/>
      <c r="M179" s="122"/>
      <c r="N179" s="122"/>
      <c r="O179" s="122"/>
      <c r="P179" s="88"/>
      <c r="Q179" s="89"/>
      <c r="R179" s="93"/>
    </row>
    <row r="180" spans="1:18" ht="15.75" customHeight="1" thickBot="1" x14ac:dyDescent="0.3">
      <c r="A180" s="119"/>
      <c r="B180" s="137"/>
      <c r="C180" s="138"/>
      <c r="D180" s="138"/>
      <c r="E180" s="138"/>
      <c r="F180" s="138"/>
      <c r="G180" s="139"/>
      <c r="H180" s="140"/>
      <c r="I180" s="16"/>
      <c r="J180" s="15"/>
      <c r="K180" s="121" t="s">
        <v>228</v>
      </c>
      <c r="L180" s="122"/>
      <c r="M180" s="122"/>
      <c r="N180" s="122"/>
      <c r="O180" s="122"/>
      <c r="P180" s="88"/>
      <c r="Q180" s="89"/>
      <c r="R180" s="93"/>
    </row>
    <row r="181" spans="1:18" ht="15.75" customHeight="1" thickBot="1" x14ac:dyDescent="0.3">
      <c r="A181" s="120"/>
      <c r="B181" s="137" t="s">
        <v>235</v>
      </c>
      <c r="C181" s="138"/>
      <c r="D181" s="138"/>
      <c r="E181" s="138"/>
      <c r="F181" s="138"/>
      <c r="G181" s="139"/>
      <c r="H181" s="140"/>
      <c r="I181" s="16"/>
      <c r="J181" s="15"/>
      <c r="K181" s="123" t="s">
        <v>234</v>
      </c>
      <c r="L181" s="124"/>
      <c r="M181" s="124"/>
      <c r="N181" s="124"/>
      <c r="O181" s="124"/>
      <c r="P181" s="90"/>
      <c r="Q181" s="91"/>
      <c r="R181" s="94"/>
    </row>
    <row r="182" spans="1:18" ht="18" customHeight="1" thickBot="1" x14ac:dyDescent="0.3">
      <c r="A182" s="15"/>
      <c r="B182" s="78" t="s">
        <v>237</v>
      </c>
      <c r="C182" s="79"/>
      <c r="D182" s="79"/>
      <c r="E182" s="79"/>
      <c r="F182" s="79"/>
      <c r="G182" s="86">
        <f>6968+20370</f>
        <v>27338</v>
      </c>
      <c r="H182" s="87"/>
      <c r="I182" s="108" t="s">
        <v>229</v>
      </c>
      <c r="J182" s="17"/>
      <c r="K182" s="137"/>
      <c r="L182" s="138"/>
      <c r="M182" s="138"/>
      <c r="N182" s="138"/>
      <c r="O182" s="138"/>
      <c r="P182" s="139"/>
      <c r="Q182" s="140"/>
      <c r="R182" s="16"/>
    </row>
    <row r="183" spans="1:18" ht="15.75" hidden="1" customHeight="1" x14ac:dyDescent="0.25">
      <c r="A183" s="15"/>
      <c r="B183" s="110" t="s">
        <v>238</v>
      </c>
      <c r="C183" s="111"/>
      <c r="D183" s="111"/>
      <c r="E183" s="111"/>
      <c r="F183" s="111"/>
      <c r="G183" s="90"/>
      <c r="H183" s="91"/>
      <c r="I183" s="109"/>
      <c r="J183" s="18"/>
      <c r="K183" s="137" t="s">
        <v>235</v>
      </c>
      <c r="L183" s="138"/>
      <c r="M183" s="138"/>
      <c r="N183" s="138"/>
      <c r="O183" s="138"/>
      <c r="P183" s="139"/>
      <c r="Q183" s="140"/>
      <c r="R183" s="16"/>
    </row>
    <row r="184" spans="1:18" ht="32.25" customHeight="1" thickBot="1" x14ac:dyDescent="0.3">
      <c r="A184" s="17"/>
      <c r="B184" s="112" t="s">
        <v>239</v>
      </c>
      <c r="C184" s="113"/>
      <c r="D184" s="113"/>
      <c r="E184" s="113"/>
      <c r="F184" s="113"/>
      <c r="G184" s="114">
        <f>SUM(G163:H183)</f>
        <v>628502.51840000006</v>
      </c>
      <c r="H184" s="115"/>
      <c r="I184" s="20"/>
      <c r="J184" s="19"/>
      <c r="K184" s="78" t="s">
        <v>237</v>
      </c>
      <c r="L184" s="79"/>
      <c r="M184" s="79"/>
      <c r="N184" s="79"/>
      <c r="O184" s="79"/>
      <c r="P184" s="86">
        <f>14647+38100</f>
        <v>52747</v>
      </c>
      <c r="Q184" s="87"/>
      <c r="R184" s="108" t="s">
        <v>229</v>
      </c>
    </row>
    <row r="185" spans="1:18" ht="15.75" thickBot="1" x14ac:dyDescent="0.3">
      <c r="A185" s="18"/>
      <c r="B185" s="101" t="s">
        <v>240</v>
      </c>
      <c r="C185" s="102"/>
      <c r="D185" s="102"/>
      <c r="E185" s="102"/>
      <c r="F185" s="102"/>
      <c r="G185" s="116">
        <f>G184*1.2</f>
        <v>754203.02208000002</v>
      </c>
      <c r="H185" s="117"/>
      <c r="I185" s="22"/>
      <c r="J185" s="21"/>
      <c r="K185" s="110" t="s">
        <v>238</v>
      </c>
      <c r="L185" s="111"/>
      <c r="M185" s="111"/>
      <c r="N185" s="111"/>
      <c r="O185" s="111"/>
      <c r="P185" s="90"/>
      <c r="Q185" s="91"/>
      <c r="R185" s="109"/>
    </row>
    <row r="186" spans="1:18" ht="15.75" thickBot="1" x14ac:dyDescent="0.3">
      <c r="A186" s="19"/>
      <c r="B186" s="96" t="s">
        <v>443</v>
      </c>
      <c r="C186" s="97"/>
      <c r="D186" s="97"/>
      <c r="E186" s="97"/>
      <c r="F186" s="97"/>
      <c r="G186" s="98">
        <v>777627.68</v>
      </c>
      <c r="H186" s="99"/>
      <c r="I186" s="100"/>
      <c r="J186" s="24"/>
      <c r="K186" s="112" t="s">
        <v>239</v>
      </c>
      <c r="L186" s="113"/>
      <c r="M186" s="113"/>
      <c r="N186" s="113"/>
      <c r="O186" s="113"/>
      <c r="P186" s="114">
        <f>SUM(P165:Q185)</f>
        <v>1073070.8368000002</v>
      </c>
      <c r="Q186" s="115"/>
      <c r="R186" s="20"/>
    </row>
    <row r="187" spans="1:18" ht="15.75" thickBot="1" x14ac:dyDescent="0.3">
      <c r="A187" s="21"/>
      <c r="B187" s="101" t="s">
        <v>242</v>
      </c>
      <c r="C187" s="102"/>
      <c r="D187" s="102"/>
      <c r="E187" s="102"/>
      <c r="F187" s="102"/>
      <c r="G187" s="103">
        <v>766706.24</v>
      </c>
      <c r="H187" s="104"/>
      <c r="I187" s="105"/>
      <c r="J187" s="19"/>
      <c r="K187" s="101" t="s">
        <v>240</v>
      </c>
      <c r="L187" s="102"/>
      <c r="M187" s="102"/>
      <c r="N187" s="102"/>
      <c r="O187" s="102"/>
      <c r="P187" s="116">
        <f>P186*1.2</f>
        <v>1287685.0041600002</v>
      </c>
      <c r="Q187" s="117"/>
      <c r="R187" s="22"/>
    </row>
    <row r="188" spans="1:18" ht="15.75" thickBot="1" x14ac:dyDescent="0.3">
      <c r="A188" s="24"/>
      <c r="B188" s="106" t="s">
        <v>444</v>
      </c>
      <c r="C188" s="107"/>
      <c r="D188" s="107"/>
      <c r="E188" s="107"/>
      <c r="F188" s="107"/>
      <c r="G188" s="103">
        <v>171880.73</v>
      </c>
      <c r="H188" s="104"/>
      <c r="I188" s="105"/>
      <c r="J188" s="19"/>
      <c r="K188" s="96" t="s">
        <v>443</v>
      </c>
      <c r="L188" s="97"/>
      <c r="M188" s="97"/>
      <c r="N188" s="97"/>
      <c r="O188" s="97"/>
      <c r="P188" s="98">
        <v>1302702.0800000001</v>
      </c>
      <c r="Q188" s="99"/>
      <c r="R188" s="100"/>
    </row>
    <row r="189" spans="1:18" ht="16.5" thickBot="1" x14ac:dyDescent="0.3">
      <c r="A189" s="19"/>
      <c r="B189" s="196"/>
      <c r="C189" s="197"/>
      <c r="D189" s="197"/>
      <c r="E189" s="197"/>
      <c r="F189" s="197"/>
      <c r="G189" s="197"/>
      <c r="H189" s="197"/>
      <c r="I189" s="197"/>
      <c r="J189" s="4"/>
      <c r="K189" s="101" t="s">
        <v>242</v>
      </c>
      <c r="L189" s="102"/>
      <c r="M189" s="102"/>
      <c r="N189" s="102"/>
      <c r="O189" s="102"/>
      <c r="P189" s="103">
        <v>1301404.1100000001</v>
      </c>
      <c r="Q189" s="104"/>
      <c r="R189" s="105"/>
    </row>
    <row r="190" spans="1:18" ht="13.5" customHeight="1" thickBot="1" x14ac:dyDescent="0.3">
      <c r="A190" s="19"/>
      <c r="I190" s="5"/>
      <c r="K190" s="106" t="s">
        <v>444</v>
      </c>
      <c r="L190" s="107"/>
      <c r="M190" s="107"/>
      <c r="N190" s="107"/>
      <c r="O190" s="107"/>
      <c r="P190" s="103">
        <v>276956.26</v>
      </c>
      <c r="Q190" s="104"/>
      <c r="R190" s="105"/>
    </row>
    <row r="191" spans="1:18" ht="31.5" customHeight="1" x14ac:dyDescent="0.25">
      <c r="A191" s="4"/>
      <c r="I191" s="5"/>
      <c r="K191" s="26"/>
      <c r="L191" s="26"/>
      <c r="M191" s="26"/>
      <c r="N191" s="26"/>
      <c r="O191" s="26"/>
      <c r="P191" s="27"/>
      <c r="Q191" s="3"/>
      <c r="R191" s="3"/>
    </row>
    <row r="192" spans="1:18" x14ac:dyDescent="0.25">
      <c r="A192" s="3"/>
      <c r="B192" s="3"/>
      <c r="C192" s="3"/>
      <c r="D192" s="3"/>
      <c r="E192" s="4" t="s">
        <v>204</v>
      </c>
      <c r="F192" s="3"/>
      <c r="G192" s="3"/>
      <c r="H192" s="3"/>
      <c r="I192" s="3"/>
      <c r="J192" s="3"/>
    </row>
    <row r="193" spans="1:18" x14ac:dyDescent="0.25">
      <c r="A193" s="3"/>
      <c r="B193" s="3"/>
      <c r="C193" s="3"/>
      <c r="D193" s="3" t="s">
        <v>246</v>
      </c>
      <c r="E193" s="3"/>
      <c r="F193" s="3"/>
      <c r="G193" s="3"/>
      <c r="H193" s="3"/>
      <c r="I193" s="3"/>
      <c r="J193" s="3" t="s">
        <v>205</v>
      </c>
    </row>
    <row r="194" spans="1:18" x14ac:dyDescent="0.25">
      <c r="A194" s="3"/>
      <c r="B194" s="5" t="s">
        <v>440</v>
      </c>
      <c r="C194" s="3"/>
      <c r="D194" s="3"/>
      <c r="E194" s="3"/>
      <c r="F194" s="3"/>
      <c r="G194" s="3"/>
      <c r="H194" s="3"/>
      <c r="I194" s="3"/>
      <c r="J194" s="3"/>
      <c r="K194" s="3"/>
      <c r="L194" s="3"/>
      <c r="M194" s="3"/>
      <c r="N194" s="4" t="s">
        <v>204</v>
      </c>
      <c r="O194" s="3"/>
      <c r="P194" s="3"/>
      <c r="Q194" s="3"/>
      <c r="R194" s="3"/>
    </row>
    <row r="195" spans="1:18" x14ac:dyDescent="0.25">
      <c r="A195" s="3" t="s">
        <v>205</v>
      </c>
      <c r="B195" s="5" t="s">
        <v>206</v>
      </c>
      <c r="C195" s="3"/>
      <c r="D195" s="3"/>
      <c r="E195" s="3"/>
      <c r="F195" s="3">
        <v>4622.3</v>
      </c>
      <c r="G195" s="3" t="s">
        <v>207</v>
      </c>
      <c r="H195" s="3"/>
      <c r="I195" s="3"/>
      <c r="J195" s="3"/>
      <c r="K195" s="3"/>
      <c r="L195" s="3"/>
      <c r="M195" s="3" t="s">
        <v>682</v>
      </c>
      <c r="N195" s="3"/>
      <c r="O195" s="3"/>
      <c r="P195" s="3"/>
      <c r="Q195" s="3"/>
      <c r="R195" s="3"/>
    </row>
    <row r="196" spans="1:18" ht="15.75" thickBot="1" x14ac:dyDescent="0.3">
      <c r="A196" s="3"/>
      <c r="B196" s="3"/>
      <c r="C196" s="3"/>
      <c r="D196" s="3"/>
      <c r="E196" s="3"/>
      <c r="F196" s="3"/>
      <c r="G196" s="3"/>
      <c r="H196" s="3"/>
      <c r="I196" s="3"/>
      <c r="J196" s="3"/>
      <c r="K196" s="5" t="s">
        <v>440</v>
      </c>
      <c r="L196" s="3"/>
      <c r="M196" s="3"/>
      <c r="N196" s="3"/>
      <c r="O196" s="3"/>
      <c r="P196" s="3"/>
      <c r="Q196" s="3"/>
      <c r="R196" s="3"/>
    </row>
    <row r="197" spans="1:18" x14ac:dyDescent="0.25">
      <c r="A197" s="3"/>
      <c r="B197" s="177" t="s">
        <v>210</v>
      </c>
      <c r="C197" s="178"/>
      <c r="D197" s="178"/>
      <c r="E197" s="178"/>
      <c r="F197" s="178"/>
      <c r="G197" s="180" t="s">
        <v>441</v>
      </c>
      <c r="H197" s="181"/>
      <c r="I197" s="175" t="s">
        <v>212</v>
      </c>
      <c r="J197" s="175" t="s">
        <v>209</v>
      </c>
      <c r="K197" s="5" t="s">
        <v>206</v>
      </c>
      <c r="L197" s="3"/>
      <c r="M197" s="3"/>
      <c r="N197" s="3"/>
      <c r="O197" s="3">
        <v>4513.1000000000004</v>
      </c>
      <c r="P197" s="3" t="s">
        <v>207</v>
      </c>
      <c r="Q197" s="3"/>
      <c r="R197" s="3"/>
    </row>
    <row r="198" spans="1:18" ht="15.75" thickBot="1" x14ac:dyDescent="0.3">
      <c r="A198" s="3"/>
      <c r="B198" s="179"/>
      <c r="C198" s="179"/>
      <c r="D198" s="179"/>
      <c r="E198" s="179"/>
      <c r="F198" s="179"/>
      <c r="G198" s="182"/>
      <c r="H198" s="183"/>
      <c r="I198" s="184"/>
      <c r="J198" s="176"/>
      <c r="K198" s="3"/>
      <c r="L198" s="3"/>
      <c r="M198" s="3"/>
      <c r="N198" s="3"/>
      <c r="O198" s="3"/>
      <c r="P198" s="3"/>
      <c r="Q198" s="3"/>
      <c r="R198" s="3"/>
    </row>
    <row r="199" spans="1:18" x14ac:dyDescent="0.25">
      <c r="A199" s="175" t="s">
        <v>209</v>
      </c>
      <c r="B199" s="187" t="s">
        <v>354</v>
      </c>
      <c r="C199" s="188"/>
      <c r="D199" s="188"/>
      <c r="E199" s="188"/>
      <c r="F199" s="188"/>
      <c r="G199" s="190">
        <v>53618.82</v>
      </c>
      <c r="H199" s="191"/>
      <c r="I199" s="192"/>
      <c r="J199" s="185" t="s">
        <v>213</v>
      </c>
      <c r="K199" s="177" t="s">
        <v>210</v>
      </c>
      <c r="L199" s="178"/>
      <c r="M199" s="178"/>
      <c r="N199" s="178"/>
      <c r="O199" s="178"/>
      <c r="P199" s="180" t="s">
        <v>442</v>
      </c>
      <c r="Q199" s="181"/>
      <c r="R199" s="175" t="s">
        <v>212</v>
      </c>
    </row>
    <row r="200" spans="1:18" ht="45.75" customHeight="1" thickBot="1" x14ac:dyDescent="0.3">
      <c r="A200" s="176"/>
      <c r="B200" s="189"/>
      <c r="C200" s="189"/>
      <c r="D200" s="189"/>
      <c r="E200" s="189"/>
      <c r="F200" s="189"/>
      <c r="G200" s="193"/>
      <c r="H200" s="194"/>
      <c r="I200" s="128"/>
      <c r="J200" s="186"/>
      <c r="K200" s="179"/>
      <c r="L200" s="179"/>
      <c r="M200" s="179"/>
      <c r="N200" s="179"/>
      <c r="O200" s="179"/>
      <c r="P200" s="182"/>
      <c r="Q200" s="183"/>
      <c r="R200" s="184"/>
    </row>
    <row r="201" spans="1:18" x14ac:dyDescent="0.25">
      <c r="A201" s="185" t="s">
        <v>213</v>
      </c>
      <c r="B201" s="161" t="s">
        <v>214</v>
      </c>
      <c r="C201" s="162"/>
      <c r="D201" s="162"/>
      <c r="E201" s="162"/>
      <c r="F201" s="162"/>
      <c r="G201" s="163">
        <f>1.64*12*F195</f>
        <v>90966.864000000001</v>
      </c>
      <c r="H201" s="164"/>
      <c r="I201" s="169" t="s">
        <v>215</v>
      </c>
      <c r="J201" s="6"/>
      <c r="K201" s="187" t="s">
        <v>354</v>
      </c>
      <c r="L201" s="188"/>
      <c r="M201" s="188"/>
      <c r="N201" s="188"/>
      <c r="O201" s="188"/>
      <c r="P201" s="190">
        <v>63088.08</v>
      </c>
      <c r="Q201" s="191"/>
      <c r="R201" s="192"/>
    </row>
    <row r="202" spans="1:18" ht="15.75" thickBot="1" x14ac:dyDescent="0.3">
      <c r="A202" s="186"/>
      <c r="B202" s="171" t="s">
        <v>216</v>
      </c>
      <c r="C202" s="172"/>
      <c r="D202" s="172"/>
      <c r="E202" s="172"/>
      <c r="F202" s="172"/>
      <c r="G202" s="165"/>
      <c r="H202" s="166"/>
      <c r="I202" s="170"/>
      <c r="J202" s="7"/>
      <c r="K202" s="189"/>
      <c r="L202" s="189"/>
      <c r="M202" s="189"/>
      <c r="N202" s="189"/>
      <c r="O202" s="189"/>
      <c r="P202" s="193"/>
      <c r="Q202" s="194"/>
      <c r="R202" s="128"/>
    </row>
    <row r="203" spans="1:18" ht="15.75" thickBot="1" x14ac:dyDescent="0.3">
      <c r="A203" s="6"/>
      <c r="B203" s="173" t="s">
        <v>217</v>
      </c>
      <c r="C203" s="174"/>
      <c r="D203" s="174"/>
      <c r="E203" s="174"/>
      <c r="F203" s="174"/>
      <c r="G203" s="167"/>
      <c r="H203" s="168"/>
      <c r="I203" s="8" t="s">
        <v>218</v>
      </c>
      <c r="J203" s="7"/>
      <c r="K203" s="161" t="s">
        <v>214</v>
      </c>
      <c r="L203" s="162"/>
      <c r="M203" s="162"/>
      <c r="N203" s="162"/>
      <c r="O203" s="162"/>
      <c r="P203" s="163">
        <f>1.79*12*O197</f>
        <v>96941.388000000006</v>
      </c>
      <c r="Q203" s="164"/>
      <c r="R203" s="169" t="s">
        <v>215</v>
      </c>
    </row>
    <row r="204" spans="1:18" ht="15.75" thickBot="1" x14ac:dyDescent="0.3">
      <c r="A204" s="7"/>
      <c r="B204" s="141" t="s">
        <v>219</v>
      </c>
      <c r="C204" s="142"/>
      <c r="D204" s="142"/>
      <c r="E204" s="142"/>
      <c r="F204" s="142"/>
      <c r="G204" s="143">
        <v>0</v>
      </c>
      <c r="H204" s="144"/>
      <c r="I204" s="8" t="s">
        <v>220</v>
      </c>
      <c r="J204" s="7"/>
      <c r="K204" s="171" t="s">
        <v>216</v>
      </c>
      <c r="L204" s="172"/>
      <c r="M204" s="172"/>
      <c r="N204" s="172"/>
      <c r="O204" s="172"/>
      <c r="P204" s="165"/>
      <c r="Q204" s="166"/>
      <c r="R204" s="170"/>
    </row>
    <row r="205" spans="1:18" ht="15.75" thickBot="1" x14ac:dyDescent="0.3">
      <c r="A205" s="7"/>
      <c r="B205" s="141" t="s">
        <v>221</v>
      </c>
      <c r="C205" s="142"/>
      <c r="D205" s="142"/>
      <c r="E205" s="142"/>
      <c r="F205" s="142"/>
      <c r="G205" s="143">
        <f>0.474*F195*12</f>
        <v>26291.642400000004</v>
      </c>
      <c r="H205" s="144"/>
      <c r="I205" s="8" t="s">
        <v>222</v>
      </c>
      <c r="J205" s="7"/>
      <c r="K205" s="173" t="s">
        <v>217</v>
      </c>
      <c r="L205" s="174"/>
      <c r="M205" s="174"/>
      <c r="N205" s="174"/>
      <c r="O205" s="174"/>
      <c r="P205" s="167"/>
      <c r="Q205" s="168"/>
      <c r="R205" s="8" t="s">
        <v>218</v>
      </c>
    </row>
    <row r="206" spans="1:18" ht="15.75" thickBot="1" x14ac:dyDescent="0.3">
      <c r="A206" s="7"/>
      <c r="B206" s="145" t="s">
        <v>223</v>
      </c>
      <c r="C206" s="146"/>
      <c r="D206" s="146"/>
      <c r="E206" s="146"/>
      <c r="F206" s="146"/>
      <c r="G206" s="86">
        <f>2.29*12*F195</f>
        <v>127020.804</v>
      </c>
      <c r="H206" s="147"/>
      <c r="I206" s="152" t="s">
        <v>224</v>
      </c>
      <c r="J206" s="9"/>
      <c r="K206" s="141" t="s">
        <v>219</v>
      </c>
      <c r="L206" s="142"/>
      <c r="M206" s="142"/>
      <c r="N206" s="142"/>
      <c r="O206" s="142"/>
      <c r="P206" s="143">
        <v>0</v>
      </c>
      <c r="Q206" s="144"/>
      <c r="R206" s="8" t="s">
        <v>220</v>
      </c>
    </row>
    <row r="207" spans="1:18" ht="15.75" thickBot="1" x14ac:dyDescent="0.3">
      <c r="A207" s="7"/>
      <c r="B207" s="155" t="s">
        <v>226</v>
      </c>
      <c r="C207" s="156"/>
      <c r="D207" s="156"/>
      <c r="E207" s="156"/>
      <c r="F207" s="156"/>
      <c r="G207" s="148"/>
      <c r="H207" s="149"/>
      <c r="I207" s="153"/>
      <c r="J207" s="10"/>
      <c r="K207" s="141" t="s">
        <v>221</v>
      </c>
      <c r="L207" s="142"/>
      <c r="M207" s="142"/>
      <c r="N207" s="142"/>
      <c r="O207" s="142"/>
      <c r="P207" s="143">
        <f>0.474*O197*12</f>
        <v>25670.512800000004</v>
      </c>
      <c r="Q207" s="144"/>
      <c r="R207" s="8" t="s">
        <v>222</v>
      </c>
    </row>
    <row r="208" spans="1:18" ht="15.75" thickBot="1" x14ac:dyDescent="0.3">
      <c r="A208" s="9"/>
      <c r="B208" s="157" t="s">
        <v>227</v>
      </c>
      <c r="C208" s="158"/>
      <c r="D208" s="158"/>
      <c r="E208" s="158"/>
      <c r="F208" s="158"/>
      <c r="G208" s="148"/>
      <c r="H208" s="149"/>
      <c r="I208" s="154"/>
      <c r="J208" s="10"/>
      <c r="K208" s="145" t="s">
        <v>223</v>
      </c>
      <c r="L208" s="146"/>
      <c r="M208" s="146"/>
      <c r="N208" s="146"/>
      <c r="O208" s="146"/>
      <c r="P208" s="86">
        <f>2.29*12*O197</f>
        <v>124019.98800000001</v>
      </c>
      <c r="Q208" s="147"/>
      <c r="R208" s="152" t="s">
        <v>224</v>
      </c>
    </row>
    <row r="209" spans="1:18" ht="15.75" thickBot="1" x14ac:dyDescent="0.3">
      <c r="A209" s="10"/>
      <c r="B209" s="159" t="s">
        <v>228</v>
      </c>
      <c r="C209" s="160"/>
      <c r="D209" s="160"/>
      <c r="E209" s="160"/>
      <c r="F209" s="160"/>
      <c r="G209" s="150"/>
      <c r="H209" s="151"/>
      <c r="I209" s="11" t="s">
        <v>229</v>
      </c>
      <c r="J209" s="10"/>
      <c r="K209" s="155" t="s">
        <v>226</v>
      </c>
      <c r="L209" s="156"/>
      <c r="M209" s="156"/>
      <c r="N209" s="156"/>
      <c r="O209" s="156"/>
      <c r="P209" s="148"/>
      <c r="Q209" s="149"/>
      <c r="R209" s="153"/>
    </row>
    <row r="210" spans="1:18" ht="15.75" thickBot="1" x14ac:dyDescent="0.3">
      <c r="A210" s="10"/>
      <c r="B210" s="125" t="s">
        <v>230</v>
      </c>
      <c r="C210" s="126"/>
      <c r="D210" s="126"/>
      <c r="E210" s="126"/>
      <c r="F210" s="126"/>
      <c r="G210" s="86">
        <f>0.048*F195*12</f>
        <v>2662.4448000000002</v>
      </c>
      <c r="H210" s="87"/>
      <c r="I210" s="129" t="s">
        <v>220</v>
      </c>
      <c r="J210" s="12"/>
      <c r="K210" s="157" t="s">
        <v>227</v>
      </c>
      <c r="L210" s="158"/>
      <c r="M210" s="158"/>
      <c r="N210" s="158"/>
      <c r="O210" s="158"/>
      <c r="P210" s="148"/>
      <c r="Q210" s="149"/>
      <c r="R210" s="154"/>
    </row>
    <row r="211" spans="1:18" ht="15.75" thickBot="1" x14ac:dyDescent="0.3">
      <c r="A211" s="10"/>
      <c r="B211" s="131" t="s">
        <v>231</v>
      </c>
      <c r="C211" s="132"/>
      <c r="D211" s="132"/>
      <c r="E211" s="132"/>
      <c r="F211" s="132"/>
      <c r="G211" s="127"/>
      <c r="H211" s="128"/>
      <c r="I211" s="130"/>
      <c r="J211" s="7"/>
      <c r="K211" s="159" t="s">
        <v>228</v>
      </c>
      <c r="L211" s="160"/>
      <c r="M211" s="160"/>
      <c r="N211" s="160"/>
      <c r="O211" s="160"/>
      <c r="P211" s="150"/>
      <c r="Q211" s="151"/>
      <c r="R211" s="11" t="s">
        <v>229</v>
      </c>
    </row>
    <row r="212" spans="1:18" ht="15.75" thickBot="1" x14ac:dyDescent="0.3">
      <c r="A212" s="12"/>
      <c r="B212" s="133" t="s">
        <v>232</v>
      </c>
      <c r="C212" s="134"/>
      <c r="D212" s="134"/>
      <c r="E212" s="134"/>
      <c r="F212" s="134"/>
      <c r="G212" s="135"/>
      <c r="H212" s="136"/>
      <c r="I212" s="14"/>
      <c r="J212" s="13"/>
      <c r="K212" s="125" t="s">
        <v>230</v>
      </c>
      <c r="L212" s="126"/>
      <c r="M212" s="126"/>
      <c r="N212" s="126"/>
      <c r="O212" s="126"/>
      <c r="P212" s="86">
        <f>0.048*12*O197</f>
        <v>2599.5456000000004</v>
      </c>
      <c r="Q212" s="87"/>
      <c r="R212" s="129" t="s">
        <v>220</v>
      </c>
    </row>
    <row r="213" spans="1:18" ht="15.75" thickBot="1" x14ac:dyDescent="0.3">
      <c r="A213" s="7"/>
      <c r="B213" s="84" t="s">
        <v>233</v>
      </c>
      <c r="C213" s="85"/>
      <c r="D213" s="85"/>
      <c r="E213" s="85"/>
      <c r="F213" s="85"/>
      <c r="G213" s="86">
        <f>1.56*F195*12</f>
        <v>86529.456000000006</v>
      </c>
      <c r="H213" s="87"/>
      <c r="I213" s="92" t="s">
        <v>456</v>
      </c>
      <c r="J213" s="13"/>
      <c r="K213" s="131" t="s">
        <v>231</v>
      </c>
      <c r="L213" s="132"/>
      <c r="M213" s="132"/>
      <c r="N213" s="132"/>
      <c r="O213" s="132"/>
      <c r="P213" s="127"/>
      <c r="Q213" s="128"/>
      <c r="R213" s="130"/>
    </row>
    <row r="214" spans="1:18" ht="15.75" thickBot="1" x14ac:dyDescent="0.3">
      <c r="A214" s="13"/>
      <c r="B214" s="121" t="s">
        <v>226</v>
      </c>
      <c r="C214" s="122"/>
      <c r="D214" s="122"/>
      <c r="E214" s="122"/>
      <c r="F214" s="122"/>
      <c r="G214" s="88"/>
      <c r="H214" s="89"/>
      <c r="I214" s="93"/>
      <c r="J214" s="118"/>
      <c r="K214" s="133" t="s">
        <v>232</v>
      </c>
      <c r="L214" s="134"/>
      <c r="M214" s="134"/>
      <c r="N214" s="134"/>
      <c r="O214" s="134"/>
      <c r="P214" s="135"/>
      <c r="Q214" s="136"/>
      <c r="R214" s="14"/>
    </row>
    <row r="215" spans="1:18" ht="29.25" customHeight="1" thickBot="1" x14ac:dyDescent="0.3">
      <c r="A215" s="13"/>
      <c r="B215" s="121" t="s">
        <v>227</v>
      </c>
      <c r="C215" s="122"/>
      <c r="D215" s="122"/>
      <c r="E215" s="122"/>
      <c r="F215" s="122"/>
      <c r="G215" s="88"/>
      <c r="H215" s="89"/>
      <c r="I215" s="93"/>
      <c r="J215" s="119"/>
      <c r="K215" s="84" t="s">
        <v>233</v>
      </c>
      <c r="L215" s="85"/>
      <c r="M215" s="85"/>
      <c r="N215" s="85"/>
      <c r="O215" s="85"/>
      <c r="P215" s="86">
        <f>1.43*O197*12</f>
        <v>77444.796000000002</v>
      </c>
      <c r="Q215" s="87"/>
      <c r="R215" s="92" t="s">
        <v>457</v>
      </c>
    </row>
    <row r="216" spans="1:18" ht="30.75" customHeight="1" x14ac:dyDescent="0.25">
      <c r="A216" s="118"/>
      <c r="B216" s="121" t="s">
        <v>228</v>
      </c>
      <c r="C216" s="122"/>
      <c r="D216" s="122"/>
      <c r="E216" s="122"/>
      <c r="F216" s="122"/>
      <c r="G216" s="88"/>
      <c r="H216" s="89"/>
      <c r="I216" s="93"/>
      <c r="J216" s="119"/>
      <c r="K216" s="121" t="s">
        <v>226</v>
      </c>
      <c r="L216" s="122"/>
      <c r="M216" s="122"/>
      <c r="N216" s="122"/>
      <c r="O216" s="122"/>
      <c r="P216" s="88"/>
      <c r="Q216" s="89"/>
      <c r="R216" s="93"/>
    </row>
    <row r="217" spans="1:18" ht="26.25" customHeight="1" thickBot="1" x14ac:dyDescent="0.3">
      <c r="A217" s="119"/>
      <c r="B217" s="123" t="s">
        <v>234</v>
      </c>
      <c r="C217" s="124"/>
      <c r="D217" s="124"/>
      <c r="E217" s="124"/>
      <c r="F217" s="124"/>
      <c r="G217" s="90"/>
      <c r="H217" s="91"/>
      <c r="I217" s="94"/>
      <c r="J217" s="120"/>
      <c r="K217" s="121" t="s">
        <v>227</v>
      </c>
      <c r="L217" s="122"/>
      <c r="M217" s="122"/>
      <c r="N217" s="122"/>
      <c r="O217" s="122"/>
      <c r="P217" s="88"/>
      <c r="Q217" s="89"/>
      <c r="R217" s="93"/>
    </row>
    <row r="218" spans="1:18" ht="23.25" customHeight="1" thickBot="1" x14ac:dyDescent="0.3">
      <c r="A218" s="119"/>
      <c r="B218" s="137"/>
      <c r="C218" s="138"/>
      <c r="D218" s="138"/>
      <c r="E218" s="138"/>
      <c r="F218" s="138"/>
      <c r="G218" s="139"/>
      <c r="H218" s="140"/>
      <c r="I218" s="16"/>
      <c r="J218" s="15"/>
      <c r="K218" s="121" t="s">
        <v>228</v>
      </c>
      <c r="L218" s="122"/>
      <c r="M218" s="122"/>
      <c r="N218" s="122"/>
      <c r="O218" s="122"/>
      <c r="P218" s="88"/>
      <c r="Q218" s="89"/>
      <c r="R218" s="93"/>
    </row>
    <row r="219" spans="1:18" ht="32.25" customHeight="1" thickBot="1" x14ac:dyDescent="0.3">
      <c r="A219" s="120"/>
      <c r="B219" s="137" t="s">
        <v>235</v>
      </c>
      <c r="C219" s="138"/>
      <c r="D219" s="138"/>
      <c r="E219" s="138"/>
      <c r="F219" s="138"/>
      <c r="G219" s="139">
        <v>2381</v>
      </c>
      <c r="H219" s="140"/>
      <c r="I219" s="16"/>
      <c r="J219" s="15"/>
      <c r="K219" s="123" t="s">
        <v>234</v>
      </c>
      <c r="L219" s="124"/>
      <c r="M219" s="124"/>
      <c r="N219" s="124"/>
      <c r="O219" s="124"/>
      <c r="P219" s="90"/>
      <c r="Q219" s="91"/>
      <c r="R219" s="94"/>
    </row>
    <row r="220" spans="1:18" ht="15" customHeight="1" thickBot="1" x14ac:dyDescent="0.3">
      <c r="A220" s="15"/>
      <c r="B220" s="78" t="s">
        <v>237</v>
      </c>
      <c r="C220" s="79"/>
      <c r="D220" s="79"/>
      <c r="E220" s="79"/>
      <c r="F220" s="79"/>
      <c r="G220" s="86">
        <v>4618</v>
      </c>
      <c r="H220" s="87"/>
      <c r="I220" s="108" t="s">
        <v>229</v>
      </c>
      <c r="J220" s="17"/>
      <c r="K220" s="137"/>
      <c r="L220" s="138"/>
      <c r="M220" s="138"/>
      <c r="N220" s="138"/>
      <c r="O220" s="138"/>
      <c r="P220" s="139"/>
      <c r="Q220" s="140"/>
      <c r="R220" s="16"/>
    </row>
    <row r="221" spans="1:18" ht="15.75" hidden="1" thickBot="1" x14ac:dyDescent="0.3">
      <c r="A221" s="15"/>
      <c r="B221" s="110" t="s">
        <v>238</v>
      </c>
      <c r="C221" s="111"/>
      <c r="D221" s="111"/>
      <c r="E221" s="111"/>
      <c r="F221" s="111"/>
      <c r="G221" s="90"/>
      <c r="H221" s="91"/>
      <c r="I221" s="109"/>
      <c r="J221" s="18"/>
      <c r="K221" s="137" t="s">
        <v>235</v>
      </c>
      <c r="L221" s="138"/>
      <c r="M221" s="138"/>
      <c r="N221" s="138"/>
      <c r="O221" s="138"/>
      <c r="P221" s="139"/>
      <c r="Q221" s="140"/>
      <c r="R221" s="16"/>
    </row>
    <row r="222" spans="1:18" ht="34.5" customHeight="1" thickBot="1" x14ac:dyDescent="0.3">
      <c r="A222" s="17"/>
      <c r="B222" s="112" t="s">
        <v>239</v>
      </c>
      <c r="C222" s="113"/>
      <c r="D222" s="113"/>
      <c r="E222" s="113"/>
      <c r="F222" s="113"/>
      <c r="G222" s="114">
        <f>SUM(G201:H221)</f>
        <v>340470.21120000002</v>
      </c>
      <c r="H222" s="115"/>
      <c r="I222" s="20"/>
      <c r="J222" s="19"/>
      <c r="K222" s="78" t="s">
        <v>237</v>
      </c>
      <c r="L222" s="79"/>
      <c r="M222" s="79"/>
      <c r="N222" s="79"/>
      <c r="O222" s="79"/>
      <c r="P222" s="86">
        <v>4672</v>
      </c>
      <c r="Q222" s="87"/>
      <c r="R222" s="108" t="s">
        <v>229</v>
      </c>
    </row>
    <row r="223" spans="1:18" ht="15.75" thickBot="1" x14ac:dyDescent="0.3">
      <c r="A223" s="18"/>
      <c r="B223" s="101" t="s">
        <v>240</v>
      </c>
      <c r="C223" s="102"/>
      <c r="D223" s="102"/>
      <c r="E223" s="102"/>
      <c r="F223" s="102"/>
      <c r="G223" s="116">
        <f>G222*1.2</f>
        <v>408564.25344</v>
      </c>
      <c r="H223" s="117"/>
      <c r="I223" s="22"/>
      <c r="J223" s="21"/>
      <c r="K223" s="110" t="s">
        <v>238</v>
      </c>
      <c r="L223" s="111"/>
      <c r="M223" s="111"/>
      <c r="N223" s="111"/>
      <c r="O223" s="111"/>
      <c r="P223" s="90"/>
      <c r="Q223" s="91"/>
      <c r="R223" s="109"/>
    </row>
    <row r="224" spans="1:18" ht="15.75" thickBot="1" x14ac:dyDescent="0.3">
      <c r="A224" s="19"/>
      <c r="B224" s="96" t="s">
        <v>443</v>
      </c>
      <c r="C224" s="97"/>
      <c r="D224" s="97"/>
      <c r="E224" s="97"/>
      <c r="F224" s="97"/>
      <c r="G224" s="98">
        <v>411332.49</v>
      </c>
      <c r="H224" s="99"/>
      <c r="I224" s="100"/>
      <c r="J224" s="24"/>
      <c r="K224" s="112" t="s">
        <v>239</v>
      </c>
      <c r="L224" s="113"/>
      <c r="M224" s="113"/>
      <c r="N224" s="113"/>
      <c r="O224" s="113"/>
      <c r="P224" s="114">
        <f>SUM(P203:Q223)</f>
        <v>331348.2304</v>
      </c>
      <c r="Q224" s="115"/>
      <c r="R224" s="20"/>
    </row>
    <row r="225" spans="1:18" ht="15.75" thickBot="1" x14ac:dyDescent="0.3">
      <c r="A225" s="21"/>
      <c r="B225" s="101" t="s">
        <v>242</v>
      </c>
      <c r="C225" s="102"/>
      <c r="D225" s="102"/>
      <c r="E225" s="102"/>
      <c r="F225" s="102"/>
      <c r="G225" s="103">
        <v>407553.64</v>
      </c>
      <c r="H225" s="104"/>
      <c r="I225" s="105"/>
      <c r="J225" s="19"/>
      <c r="K225" s="101" t="s">
        <v>240</v>
      </c>
      <c r="L225" s="102"/>
      <c r="M225" s="102"/>
      <c r="N225" s="102"/>
      <c r="O225" s="102"/>
      <c r="P225" s="116">
        <f>P224*1.2</f>
        <v>397617.87647999998</v>
      </c>
      <c r="Q225" s="117"/>
      <c r="R225" s="22"/>
    </row>
    <row r="226" spans="1:18" ht="15.75" thickBot="1" x14ac:dyDescent="0.3">
      <c r="A226" s="24"/>
      <c r="B226" s="106" t="s">
        <v>444</v>
      </c>
      <c r="C226" s="107"/>
      <c r="D226" s="107"/>
      <c r="E226" s="107"/>
      <c r="F226" s="107"/>
      <c r="G226" s="103">
        <v>57397.67</v>
      </c>
      <c r="H226" s="104"/>
      <c r="I226" s="105"/>
      <c r="J226" s="19"/>
      <c r="K226" s="96" t="s">
        <v>443</v>
      </c>
      <c r="L226" s="97"/>
      <c r="M226" s="97"/>
      <c r="N226" s="97"/>
      <c r="O226" s="97"/>
      <c r="P226" s="98">
        <v>399118.24</v>
      </c>
      <c r="Q226" s="99"/>
      <c r="R226" s="100"/>
    </row>
    <row r="227" spans="1:18" ht="15.75" thickBot="1" x14ac:dyDescent="0.3">
      <c r="A227" s="19"/>
      <c r="B227" s="195"/>
      <c r="C227" s="195"/>
      <c r="D227" s="195"/>
      <c r="E227" s="195"/>
      <c r="F227" s="195"/>
      <c r="G227" s="195"/>
      <c r="H227" s="195"/>
      <c r="I227" s="195"/>
      <c r="J227" s="4"/>
      <c r="K227" s="101" t="s">
        <v>242</v>
      </c>
      <c r="L227" s="102"/>
      <c r="M227" s="102"/>
      <c r="N227" s="102"/>
      <c r="O227" s="102"/>
      <c r="P227" s="103">
        <v>404968.06</v>
      </c>
      <c r="Q227" s="104"/>
      <c r="R227" s="105"/>
    </row>
    <row r="228" spans="1:18" ht="16.5" thickBot="1" x14ac:dyDescent="0.3">
      <c r="A228" s="19"/>
      <c r="C228" s="30"/>
      <c r="I228" s="5"/>
      <c r="K228" s="106" t="s">
        <v>444</v>
      </c>
      <c r="L228" s="107"/>
      <c r="M228" s="107"/>
      <c r="N228" s="107"/>
      <c r="O228" s="107"/>
      <c r="P228" s="103">
        <v>57238.26</v>
      </c>
      <c r="Q228" s="104"/>
      <c r="R228" s="105"/>
    </row>
    <row r="229" spans="1:18" ht="27.95" customHeight="1" x14ac:dyDescent="0.25">
      <c r="A229" s="4"/>
      <c r="C229" s="30"/>
      <c r="E229" s="4" t="s">
        <v>204</v>
      </c>
      <c r="I229" s="5"/>
      <c r="K229" s="195"/>
      <c r="L229" s="195"/>
      <c r="M229" s="195"/>
      <c r="N229" s="195"/>
      <c r="O229" s="195"/>
      <c r="P229" s="195"/>
      <c r="Q229" s="195"/>
      <c r="R229" s="195"/>
    </row>
    <row r="230" spans="1:18" x14ac:dyDescent="0.25">
      <c r="B230" s="3"/>
      <c r="C230" s="3"/>
      <c r="D230" s="3" t="s">
        <v>247</v>
      </c>
      <c r="E230" s="3"/>
      <c r="F230" s="3"/>
      <c r="G230" s="3"/>
      <c r="H230" s="3"/>
      <c r="I230" s="3"/>
    </row>
    <row r="231" spans="1:18" x14ac:dyDescent="0.25">
      <c r="B231" s="5" t="s">
        <v>440</v>
      </c>
      <c r="C231" s="3"/>
      <c r="D231" s="3"/>
      <c r="E231" s="3"/>
      <c r="F231" s="3"/>
      <c r="G231" s="3"/>
      <c r="H231" s="3"/>
      <c r="I231" s="3"/>
    </row>
    <row r="232" spans="1:18" x14ac:dyDescent="0.25">
      <c r="A232" s="3" t="s">
        <v>205</v>
      </c>
      <c r="B232" s="5" t="s">
        <v>206</v>
      </c>
      <c r="C232" s="3"/>
      <c r="D232" s="3"/>
      <c r="E232" s="3"/>
      <c r="F232" s="3">
        <v>4131</v>
      </c>
      <c r="G232" s="3" t="s">
        <v>207</v>
      </c>
      <c r="H232" s="3"/>
      <c r="I232" s="3"/>
    </row>
    <row r="233" spans="1:18" ht="15.75" thickBot="1" x14ac:dyDescent="0.3">
      <c r="A233" s="3"/>
      <c r="B233" s="3"/>
      <c r="C233" s="3"/>
      <c r="D233" s="3"/>
      <c r="E233" s="3"/>
      <c r="F233" s="3"/>
      <c r="G233" s="3"/>
      <c r="H233" s="3"/>
      <c r="I233" s="3"/>
    </row>
    <row r="234" spans="1:18" x14ac:dyDescent="0.25">
      <c r="A234" s="3"/>
      <c r="B234" s="177" t="s">
        <v>210</v>
      </c>
      <c r="C234" s="178"/>
      <c r="D234" s="178"/>
      <c r="E234" s="178"/>
      <c r="F234" s="178"/>
      <c r="G234" s="180" t="s">
        <v>442</v>
      </c>
      <c r="H234" s="181"/>
      <c r="I234" s="175" t="s">
        <v>212</v>
      </c>
    </row>
    <row r="235" spans="1:18" ht="51.75" customHeight="1" thickBot="1" x14ac:dyDescent="0.3">
      <c r="A235" s="3"/>
      <c r="B235" s="179"/>
      <c r="C235" s="179"/>
      <c r="D235" s="179"/>
      <c r="E235" s="179"/>
      <c r="F235" s="179"/>
      <c r="G235" s="182"/>
      <c r="H235" s="183"/>
      <c r="I235" s="184"/>
    </row>
    <row r="236" spans="1:18" x14ac:dyDescent="0.25">
      <c r="A236" s="175" t="s">
        <v>209</v>
      </c>
      <c r="B236" s="187" t="s">
        <v>354</v>
      </c>
      <c r="C236" s="188"/>
      <c r="D236" s="188"/>
      <c r="E236" s="188"/>
      <c r="F236" s="188"/>
      <c r="G236" s="190">
        <v>35134.92</v>
      </c>
      <c r="H236" s="191"/>
      <c r="I236" s="192"/>
    </row>
    <row r="237" spans="1:18" ht="40.5" customHeight="1" thickBot="1" x14ac:dyDescent="0.3">
      <c r="A237" s="176"/>
      <c r="B237" s="189"/>
      <c r="C237" s="189"/>
      <c r="D237" s="189"/>
      <c r="E237" s="189"/>
      <c r="F237" s="189"/>
      <c r="G237" s="193"/>
      <c r="H237" s="194"/>
      <c r="I237" s="128"/>
    </row>
    <row r="238" spans="1:18" x14ac:dyDescent="0.25">
      <c r="A238" s="185" t="s">
        <v>213</v>
      </c>
      <c r="B238" s="161" t="s">
        <v>214</v>
      </c>
      <c r="C238" s="162"/>
      <c r="D238" s="162"/>
      <c r="E238" s="162"/>
      <c r="F238" s="162"/>
      <c r="G238" s="163">
        <f>1.74*F232*12</f>
        <v>86255.28</v>
      </c>
      <c r="H238" s="164"/>
      <c r="I238" s="169" t="s">
        <v>215</v>
      </c>
    </row>
    <row r="239" spans="1:18" ht="15.75" thickBot="1" x14ac:dyDescent="0.3">
      <c r="A239" s="186"/>
      <c r="B239" s="171" t="s">
        <v>216</v>
      </c>
      <c r="C239" s="172"/>
      <c r="D239" s="172"/>
      <c r="E239" s="172"/>
      <c r="F239" s="172"/>
      <c r="G239" s="165"/>
      <c r="H239" s="166"/>
      <c r="I239" s="170"/>
    </row>
    <row r="240" spans="1:18" ht="15.75" thickBot="1" x14ac:dyDescent="0.3">
      <c r="A240" s="6"/>
      <c r="B240" s="173" t="s">
        <v>217</v>
      </c>
      <c r="C240" s="174"/>
      <c r="D240" s="174"/>
      <c r="E240" s="174"/>
      <c r="F240" s="174"/>
      <c r="G240" s="167"/>
      <c r="H240" s="168"/>
      <c r="I240" s="8" t="s">
        <v>218</v>
      </c>
    </row>
    <row r="241" spans="1:9" ht="31.5" customHeight="1" thickBot="1" x14ac:dyDescent="0.3">
      <c r="A241" s="7"/>
      <c r="B241" s="141" t="s">
        <v>219</v>
      </c>
      <c r="C241" s="142"/>
      <c r="D241" s="142"/>
      <c r="E241" s="142"/>
      <c r="F241" s="142"/>
      <c r="G241" s="143">
        <f>2400*2*12</f>
        <v>57600</v>
      </c>
      <c r="H241" s="144"/>
      <c r="I241" s="8" t="s">
        <v>220</v>
      </c>
    </row>
    <row r="242" spans="1:9" ht="15.75" thickBot="1" x14ac:dyDescent="0.3">
      <c r="A242" s="7"/>
      <c r="B242" s="141" t="s">
        <v>221</v>
      </c>
      <c r="C242" s="142"/>
      <c r="D242" s="142"/>
      <c r="E242" s="142"/>
      <c r="F242" s="142"/>
      <c r="G242" s="143">
        <f>0.474*F232*12</f>
        <v>23497.127999999997</v>
      </c>
      <c r="H242" s="144"/>
      <c r="I242" s="8" t="s">
        <v>222</v>
      </c>
    </row>
    <row r="243" spans="1:9" x14ac:dyDescent="0.25">
      <c r="A243" s="7"/>
      <c r="B243" s="145" t="s">
        <v>223</v>
      </c>
      <c r="C243" s="146"/>
      <c r="D243" s="146"/>
      <c r="E243" s="146"/>
      <c r="F243" s="146"/>
      <c r="G243" s="86">
        <f>1.43*F232*12</f>
        <v>70887.959999999992</v>
      </c>
      <c r="H243" s="147"/>
      <c r="I243" s="152" t="s">
        <v>224</v>
      </c>
    </row>
    <row r="244" spans="1:9" x14ac:dyDescent="0.25">
      <c r="A244" s="7"/>
      <c r="B244" s="155" t="s">
        <v>226</v>
      </c>
      <c r="C244" s="156"/>
      <c r="D244" s="156"/>
      <c r="E244" s="156"/>
      <c r="F244" s="156"/>
      <c r="G244" s="148"/>
      <c r="H244" s="149"/>
      <c r="I244" s="153"/>
    </row>
    <row r="245" spans="1:9" ht="15.75" thickBot="1" x14ac:dyDescent="0.3">
      <c r="A245" s="9"/>
      <c r="B245" s="157" t="s">
        <v>227</v>
      </c>
      <c r="C245" s="158"/>
      <c r="D245" s="158"/>
      <c r="E245" s="158"/>
      <c r="F245" s="158"/>
      <c r="G245" s="148"/>
      <c r="H245" s="149"/>
      <c r="I245" s="154"/>
    </row>
    <row r="246" spans="1:9" ht="15.75" thickBot="1" x14ac:dyDescent="0.3">
      <c r="A246" s="10"/>
      <c r="B246" s="159" t="s">
        <v>228</v>
      </c>
      <c r="C246" s="160"/>
      <c r="D246" s="160"/>
      <c r="E246" s="160"/>
      <c r="F246" s="160"/>
      <c r="G246" s="150"/>
      <c r="H246" s="151"/>
      <c r="I246" s="11" t="s">
        <v>229</v>
      </c>
    </row>
    <row r="247" spans="1:9" x14ac:dyDescent="0.25">
      <c r="A247" s="10"/>
      <c r="B247" s="125" t="s">
        <v>230</v>
      </c>
      <c r="C247" s="126"/>
      <c r="D247" s="126"/>
      <c r="E247" s="126"/>
      <c r="F247" s="126"/>
      <c r="G247" s="86">
        <f>0.048*12*F232</f>
        <v>2379.4560000000001</v>
      </c>
      <c r="H247" s="87"/>
      <c r="I247" s="129" t="s">
        <v>220</v>
      </c>
    </row>
    <row r="248" spans="1:9" ht="15.75" thickBot="1" x14ac:dyDescent="0.3">
      <c r="A248" s="10"/>
      <c r="B248" s="131" t="s">
        <v>231</v>
      </c>
      <c r="C248" s="132"/>
      <c r="D248" s="132"/>
      <c r="E248" s="132"/>
      <c r="F248" s="132"/>
      <c r="G248" s="127"/>
      <c r="H248" s="128"/>
      <c r="I248" s="130"/>
    </row>
    <row r="249" spans="1:9" ht="15.75" thickBot="1" x14ac:dyDescent="0.3">
      <c r="A249" s="12"/>
      <c r="B249" s="133" t="s">
        <v>232</v>
      </c>
      <c r="C249" s="134"/>
      <c r="D249" s="134"/>
      <c r="E249" s="134"/>
      <c r="F249" s="134"/>
      <c r="G249" s="135"/>
      <c r="H249" s="136"/>
      <c r="I249" s="14"/>
    </row>
    <row r="250" spans="1:9" ht="15.75" thickBot="1" x14ac:dyDescent="0.3">
      <c r="A250" s="7"/>
      <c r="B250" s="84" t="s">
        <v>233</v>
      </c>
      <c r="C250" s="85"/>
      <c r="D250" s="85"/>
      <c r="E250" s="85"/>
      <c r="F250" s="85"/>
      <c r="G250" s="86">
        <f>1.69*F232*12</f>
        <v>83776.679999999993</v>
      </c>
      <c r="H250" s="87"/>
      <c r="I250" s="92" t="s">
        <v>458</v>
      </c>
    </row>
    <row r="251" spans="1:9" ht="15.75" thickBot="1" x14ac:dyDescent="0.3">
      <c r="A251" s="13"/>
      <c r="B251" s="121" t="s">
        <v>226</v>
      </c>
      <c r="C251" s="122"/>
      <c r="D251" s="122"/>
      <c r="E251" s="122"/>
      <c r="F251" s="122"/>
      <c r="G251" s="88"/>
      <c r="H251" s="89"/>
      <c r="I251" s="93"/>
    </row>
    <row r="252" spans="1:9" ht="15.75" thickBot="1" x14ac:dyDescent="0.3">
      <c r="A252" s="13"/>
      <c r="B252" s="121" t="s">
        <v>227</v>
      </c>
      <c r="C252" s="122"/>
      <c r="D252" s="122"/>
      <c r="E252" s="122"/>
      <c r="F252" s="122"/>
      <c r="G252" s="88"/>
      <c r="H252" s="89"/>
      <c r="I252" s="93"/>
    </row>
    <row r="253" spans="1:9" x14ac:dyDescent="0.25">
      <c r="A253" s="118"/>
      <c r="B253" s="121" t="s">
        <v>228</v>
      </c>
      <c r="C253" s="122"/>
      <c r="D253" s="122"/>
      <c r="E253" s="122"/>
      <c r="F253" s="122"/>
      <c r="G253" s="88"/>
      <c r="H253" s="89"/>
      <c r="I253" s="93"/>
    </row>
    <row r="254" spans="1:9" ht="59.1" customHeight="1" thickBot="1" x14ac:dyDescent="0.3">
      <c r="A254" s="119"/>
      <c r="B254" s="123" t="s">
        <v>234</v>
      </c>
      <c r="C254" s="124"/>
      <c r="D254" s="124"/>
      <c r="E254" s="124"/>
      <c r="F254" s="124"/>
      <c r="G254" s="90"/>
      <c r="H254" s="91"/>
      <c r="I254" s="94"/>
    </row>
    <row r="255" spans="1:9" ht="15.75" thickBot="1" x14ac:dyDescent="0.3">
      <c r="A255" s="119"/>
      <c r="B255" s="137" t="s">
        <v>248</v>
      </c>
      <c r="C255" s="138"/>
      <c r="D255" s="138"/>
      <c r="E255" s="138"/>
      <c r="F255" s="138"/>
      <c r="G255" s="139"/>
      <c r="H255" s="140"/>
      <c r="I255" s="16"/>
    </row>
    <row r="256" spans="1:9" ht="29.25" customHeight="1" thickBot="1" x14ac:dyDescent="0.3">
      <c r="A256" s="120"/>
      <c r="B256" s="137" t="s">
        <v>235</v>
      </c>
      <c r="C256" s="138"/>
      <c r="D256" s="138"/>
      <c r="E256" s="138"/>
      <c r="F256" s="138"/>
      <c r="G256" s="139"/>
      <c r="H256" s="140"/>
      <c r="I256" s="16"/>
    </row>
    <row r="257" spans="1:9" ht="15" customHeight="1" thickBot="1" x14ac:dyDescent="0.3">
      <c r="A257" s="15"/>
      <c r="B257" s="78" t="s">
        <v>237</v>
      </c>
      <c r="C257" s="79"/>
      <c r="D257" s="79"/>
      <c r="E257" s="79"/>
      <c r="F257" s="79"/>
      <c r="G257" s="80">
        <f>19285+11881</f>
        <v>31166</v>
      </c>
      <c r="H257" s="81"/>
      <c r="I257" s="108" t="s">
        <v>229</v>
      </c>
    </row>
    <row r="258" spans="1:9" ht="15.75" hidden="1" thickBot="1" x14ac:dyDescent="0.3">
      <c r="A258" s="15"/>
      <c r="B258" s="110" t="s">
        <v>238</v>
      </c>
      <c r="C258" s="111"/>
      <c r="D258" s="111"/>
      <c r="E258" s="111"/>
      <c r="F258" s="111"/>
      <c r="G258" s="82"/>
      <c r="H258" s="83"/>
      <c r="I258" s="109"/>
    </row>
    <row r="259" spans="1:9" ht="32.25" customHeight="1" thickBot="1" x14ac:dyDescent="0.3">
      <c r="A259" s="17"/>
      <c r="B259" s="112" t="s">
        <v>239</v>
      </c>
      <c r="C259" s="113"/>
      <c r="D259" s="113"/>
      <c r="E259" s="113"/>
      <c r="F259" s="113"/>
      <c r="G259" s="114">
        <f>SUM(G238:H258)</f>
        <v>355562.50399999996</v>
      </c>
      <c r="H259" s="115"/>
      <c r="I259" s="20"/>
    </row>
    <row r="260" spans="1:9" ht="15.75" thickBot="1" x14ac:dyDescent="0.3">
      <c r="A260" s="18"/>
      <c r="B260" s="101" t="s">
        <v>240</v>
      </c>
      <c r="C260" s="102"/>
      <c r="D260" s="102"/>
      <c r="E260" s="102"/>
      <c r="F260" s="102"/>
      <c r="G260" s="116">
        <f>G259*1.2</f>
        <v>426675.00479999994</v>
      </c>
      <c r="H260" s="117"/>
      <c r="I260" s="22"/>
    </row>
    <row r="261" spans="1:9" ht="15.75" thickBot="1" x14ac:dyDescent="0.3">
      <c r="A261" s="19"/>
      <c r="B261" s="96" t="s">
        <v>443</v>
      </c>
      <c r="C261" s="97"/>
      <c r="D261" s="97"/>
      <c r="E261" s="97"/>
      <c r="F261" s="97"/>
      <c r="G261" s="98">
        <v>430707.05</v>
      </c>
      <c r="H261" s="99"/>
      <c r="I261" s="100"/>
    </row>
    <row r="262" spans="1:9" ht="15.75" thickBot="1" x14ac:dyDescent="0.3">
      <c r="A262" s="21"/>
      <c r="B262" s="101" t="s">
        <v>242</v>
      </c>
      <c r="C262" s="102"/>
      <c r="D262" s="102"/>
      <c r="E262" s="102"/>
      <c r="F262" s="102"/>
      <c r="G262" s="103">
        <v>426550.59</v>
      </c>
      <c r="H262" s="104"/>
      <c r="I262" s="105"/>
    </row>
    <row r="263" spans="1:9" ht="15.75" thickBot="1" x14ac:dyDescent="0.3">
      <c r="A263" s="24"/>
      <c r="B263" s="106" t="s">
        <v>444</v>
      </c>
      <c r="C263" s="107"/>
      <c r="D263" s="107"/>
      <c r="E263" s="107"/>
      <c r="F263" s="107"/>
      <c r="G263" s="103">
        <v>39291.379999999997</v>
      </c>
      <c r="H263" s="104"/>
      <c r="I263" s="105"/>
    </row>
    <row r="264" spans="1:9" ht="16.5" thickBot="1" x14ac:dyDescent="0.3">
      <c r="A264" s="19"/>
      <c r="B264" s="95"/>
      <c r="C264" s="95"/>
      <c r="D264" s="95"/>
      <c r="E264" s="95"/>
      <c r="F264" s="95"/>
      <c r="G264" s="95"/>
      <c r="H264" s="95"/>
      <c r="I264" s="95"/>
    </row>
    <row r="265" spans="1:9" ht="15.75" thickBot="1" x14ac:dyDescent="0.3">
      <c r="A265" s="19"/>
    </row>
    <row r="266" spans="1:9" ht="38.450000000000003" customHeight="1" x14ac:dyDescent="0.25"/>
  </sheetData>
  <mergeCells count="715">
    <mergeCell ref="R10:R11"/>
    <mergeCell ref="B11:F11"/>
    <mergeCell ref="K11:O11"/>
    <mergeCell ref="B12:F12"/>
    <mergeCell ref="K12:O12"/>
    <mergeCell ref="P6:Q7"/>
    <mergeCell ref="R6:R7"/>
    <mergeCell ref="A8:A9"/>
    <mergeCell ref="B8:F9"/>
    <mergeCell ref="G8:I9"/>
    <mergeCell ref="J8:J9"/>
    <mergeCell ref="K8:O9"/>
    <mergeCell ref="P8:R9"/>
    <mergeCell ref="A6:A7"/>
    <mergeCell ref="B6:F7"/>
    <mergeCell ref="G6:H7"/>
    <mergeCell ref="I6:I7"/>
    <mergeCell ref="J6:J7"/>
    <mergeCell ref="K6:O7"/>
    <mergeCell ref="B13:F13"/>
    <mergeCell ref="G13:H13"/>
    <mergeCell ref="K13:O13"/>
    <mergeCell ref="P13:Q13"/>
    <mergeCell ref="B14:F14"/>
    <mergeCell ref="G14:H14"/>
    <mergeCell ref="K14:O14"/>
    <mergeCell ref="P14:Q14"/>
    <mergeCell ref="B10:F10"/>
    <mergeCell ref="G10:H12"/>
    <mergeCell ref="I10:I11"/>
    <mergeCell ref="K10:O10"/>
    <mergeCell ref="P10:Q12"/>
    <mergeCell ref="B15:F15"/>
    <mergeCell ref="G15:H18"/>
    <mergeCell ref="I15:I17"/>
    <mergeCell ref="K15:O15"/>
    <mergeCell ref="P15:Q18"/>
    <mergeCell ref="R15:R17"/>
    <mergeCell ref="B16:F16"/>
    <mergeCell ref="K16:O16"/>
    <mergeCell ref="B17:F17"/>
    <mergeCell ref="K17:O17"/>
    <mergeCell ref="P19:Q20"/>
    <mergeCell ref="R19:R20"/>
    <mergeCell ref="B20:F20"/>
    <mergeCell ref="K20:O20"/>
    <mergeCell ref="B21:F21"/>
    <mergeCell ref="G21:H21"/>
    <mergeCell ref="K21:O21"/>
    <mergeCell ref="P21:Q21"/>
    <mergeCell ref="B18:F18"/>
    <mergeCell ref="K18:O18"/>
    <mergeCell ref="B19:F19"/>
    <mergeCell ref="G19:H20"/>
    <mergeCell ref="I19:I20"/>
    <mergeCell ref="K19:O19"/>
    <mergeCell ref="B22:F22"/>
    <mergeCell ref="G22:H22"/>
    <mergeCell ref="K22:O22"/>
    <mergeCell ref="P22:Q22"/>
    <mergeCell ref="B23:F23"/>
    <mergeCell ref="G23:H27"/>
    <mergeCell ref="I23:I27"/>
    <mergeCell ref="K23:O23"/>
    <mergeCell ref="P23:Q27"/>
    <mergeCell ref="K27:O27"/>
    <mergeCell ref="R23:R27"/>
    <mergeCell ref="A24:A27"/>
    <mergeCell ref="B24:F24"/>
    <mergeCell ref="J24:J27"/>
    <mergeCell ref="K24:O24"/>
    <mergeCell ref="B25:F25"/>
    <mergeCell ref="K25:O25"/>
    <mergeCell ref="B26:F26"/>
    <mergeCell ref="K26:O26"/>
    <mergeCell ref="B27:F27"/>
    <mergeCell ref="B30:F30"/>
    <mergeCell ref="G30:H31"/>
    <mergeCell ref="I30:I31"/>
    <mergeCell ref="K30:O30"/>
    <mergeCell ref="P30:Q31"/>
    <mergeCell ref="R30:R31"/>
    <mergeCell ref="B31:F31"/>
    <mergeCell ref="K31:O31"/>
    <mergeCell ref="B28:F28"/>
    <mergeCell ref="G28:H28"/>
    <mergeCell ref="K28:O28"/>
    <mergeCell ref="P28:Q28"/>
    <mergeCell ref="B29:F29"/>
    <mergeCell ref="G29:H29"/>
    <mergeCell ref="K29:O29"/>
    <mergeCell ref="P29:Q29"/>
    <mergeCell ref="B34:F34"/>
    <mergeCell ref="G34:I34"/>
    <mergeCell ref="K34:O34"/>
    <mergeCell ref="P34:R34"/>
    <mergeCell ref="B35:F35"/>
    <mergeCell ref="G35:I35"/>
    <mergeCell ref="K35:O35"/>
    <mergeCell ref="P35:R35"/>
    <mergeCell ref="B32:F32"/>
    <mergeCell ref="G32:H32"/>
    <mergeCell ref="K32:O32"/>
    <mergeCell ref="P32:Q32"/>
    <mergeCell ref="B33:F33"/>
    <mergeCell ref="G33:H33"/>
    <mergeCell ref="K33:O33"/>
    <mergeCell ref="P33:Q33"/>
    <mergeCell ref="B44:F45"/>
    <mergeCell ref="G44:H45"/>
    <mergeCell ref="I44:I45"/>
    <mergeCell ref="J44:J45"/>
    <mergeCell ref="B36:F36"/>
    <mergeCell ref="G36:I36"/>
    <mergeCell ref="K36:O36"/>
    <mergeCell ref="P36:R36"/>
    <mergeCell ref="B37:I37"/>
    <mergeCell ref="K38:R38"/>
    <mergeCell ref="R50:R51"/>
    <mergeCell ref="B49:F49"/>
    <mergeCell ref="K51:O51"/>
    <mergeCell ref="B50:F50"/>
    <mergeCell ref="K52:O52"/>
    <mergeCell ref="K46:O47"/>
    <mergeCell ref="P46:Q47"/>
    <mergeCell ref="R46:R47"/>
    <mergeCell ref="A48:A49"/>
    <mergeCell ref="B46:F47"/>
    <mergeCell ref="G46:I47"/>
    <mergeCell ref="J46:J47"/>
    <mergeCell ref="K48:O49"/>
    <mergeCell ref="P48:R49"/>
    <mergeCell ref="A46:A47"/>
    <mergeCell ref="B51:F51"/>
    <mergeCell ref="G51:H51"/>
    <mergeCell ref="P53:Q53"/>
    <mergeCell ref="B52:F52"/>
    <mergeCell ref="G52:H52"/>
    <mergeCell ref="K54:O54"/>
    <mergeCell ref="P54:Q54"/>
    <mergeCell ref="B48:F48"/>
    <mergeCell ref="G48:H50"/>
    <mergeCell ref="I48:I49"/>
    <mergeCell ref="K50:O50"/>
    <mergeCell ref="P50:Q52"/>
    <mergeCell ref="B53:F53"/>
    <mergeCell ref="G53:H56"/>
    <mergeCell ref="I53:I55"/>
    <mergeCell ref="K55:O55"/>
    <mergeCell ref="B54:F54"/>
    <mergeCell ref="K56:O56"/>
    <mergeCell ref="B55:F55"/>
    <mergeCell ref="K57:O57"/>
    <mergeCell ref="K53:O53"/>
    <mergeCell ref="B60:F60"/>
    <mergeCell ref="G60:H64"/>
    <mergeCell ref="I60:I64"/>
    <mergeCell ref="K62:O62"/>
    <mergeCell ref="P62:Q66"/>
    <mergeCell ref="R62:R66"/>
    <mergeCell ref="P59:Q60"/>
    <mergeCell ref="R59:R60"/>
    <mergeCell ref="B58:F58"/>
    <mergeCell ref="K60:O60"/>
    <mergeCell ref="B59:F59"/>
    <mergeCell ref="G59:H59"/>
    <mergeCell ref="K61:O61"/>
    <mergeCell ref="P61:Q61"/>
    <mergeCell ref="P55:Q58"/>
    <mergeCell ref="R55:R57"/>
    <mergeCell ref="B56:F56"/>
    <mergeCell ref="K58:O58"/>
    <mergeCell ref="B57:F57"/>
    <mergeCell ref="G57:H58"/>
    <mergeCell ref="I57:I58"/>
    <mergeCell ref="K59:O59"/>
    <mergeCell ref="A63:A66"/>
    <mergeCell ref="B61:F61"/>
    <mergeCell ref="J61:J64"/>
    <mergeCell ref="K63:O63"/>
    <mergeCell ref="B62:F62"/>
    <mergeCell ref="K64:O64"/>
    <mergeCell ref="B63:F63"/>
    <mergeCell ref="K65:O65"/>
    <mergeCell ref="B64:F64"/>
    <mergeCell ref="K66:O66"/>
    <mergeCell ref="B67:F67"/>
    <mergeCell ref="G67:H68"/>
    <mergeCell ref="I67:I68"/>
    <mergeCell ref="K69:O69"/>
    <mergeCell ref="P69:Q70"/>
    <mergeCell ref="R69:R70"/>
    <mergeCell ref="B68:F68"/>
    <mergeCell ref="K70:O70"/>
    <mergeCell ref="B65:F65"/>
    <mergeCell ref="G65:H65"/>
    <mergeCell ref="K67:O67"/>
    <mergeCell ref="P67:Q67"/>
    <mergeCell ref="B66:F66"/>
    <mergeCell ref="G66:H66"/>
    <mergeCell ref="K68:O68"/>
    <mergeCell ref="P68:Q68"/>
    <mergeCell ref="B71:F71"/>
    <mergeCell ref="G71:I71"/>
    <mergeCell ref="K73:O73"/>
    <mergeCell ref="P73:R73"/>
    <mergeCell ref="B72:F72"/>
    <mergeCell ref="G72:I72"/>
    <mergeCell ref="K74:O74"/>
    <mergeCell ref="P74:R74"/>
    <mergeCell ref="B69:F69"/>
    <mergeCell ref="G69:H69"/>
    <mergeCell ref="K71:O71"/>
    <mergeCell ref="P71:Q71"/>
    <mergeCell ref="B70:F70"/>
    <mergeCell ref="G70:H70"/>
    <mergeCell ref="K72:O72"/>
    <mergeCell ref="P72:Q72"/>
    <mergeCell ref="G73:I73"/>
    <mergeCell ref="K75:O75"/>
    <mergeCell ref="P75:R75"/>
    <mergeCell ref="B74:I74"/>
    <mergeCell ref="K76:R76"/>
    <mergeCell ref="A87:A88"/>
    <mergeCell ref="B85:F86"/>
    <mergeCell ref="G85:H86"/>
    <mergeCell ref="I85:I86"/>
    <mergeCell ref="J85:J86"/>
    <mergeCell ref="R91:R92"/>
    <mergeCell ref="B90:F90"/>
    <mergeCell ref="K92:O92"/>
    <mergeCell ref="B91:F91"/>
    <mergeCell ref="K93:O93"/>
    <mergeCell ref="K87:O88"/>
    <mergeCell ref="P87:Q88"/>
    <mergeCell ref="R87:R88"/>
    <mergeCell ref="A89:A90"/>
    <mergeCell ref="B87:F88"/>
    <mergeCell ref="G87:I88"/>
    <mergeCell ref="J87:J88"/>
    <mergeCell ref="K89:O90"/>
    <mergeCell ref="P89:R90"/>
    <mergeCell ref="B92:F92"/>
    <mergeCell ref="G92:H92"/>
    <mergeCell ref="P94:Q94"/>
    <mergeCell ref="B93:F93"/>
    <mergeCell ref="G93:H93"/>
    <mergeCell ref="K95:O95"/>
    <mergeCell ref="P95:Q95"/>
    <mergeCell ref="B89:F89"/>
    <mergeCell ref="G89:H91"/>
    <mergeCell ref="I89:I90"/>
    <mergeCell ref="K91:O91"/>
    <mergeCell ref="P91:Q93"/>
    <mergeCell ref="B94:F94"/>
    <mergeCell ref="G94:H97"/>
    <mergeCell ref="I94:I96"/>
    <mergeCell ref="K96:O96"/>
    <mergeCell ref="B95:F95"/>
    <mergeCell ref="K97:O97"/>
    <mergeCell ref="B96:F96"/>
    <mergeCell ref="K98:O98"/>
    <mergeCell ref="K94:O94"/>
    <mergeCell ref="B101:F101"/>
    <mergeCell ref="G101:H105"/>
    <mergeCell ref="I101:I105"/>
    <mergeCell ref="K103:O103"/>
    <mergeCell ref="P103:Q107"/>
    <mergeCell ref="R103:R107"/>
    <mergeCell ref="P100:Q101"/>
    <mergeCell ref="R100:R101"/>
    <mergeCell ref="B99:F99"/>
    <mergeCell ref="K101:O101"/>
    <mergeCell ref="B100:F100"/>
    <mergeCell ref="G100:H100"/>
    <mergeCell ref="K102:O102"/>
    <mergeCell ref="P102:Q102"/>
    <mergeCell ref="P96:Q99"/>
    <mergeCell ref="R96:R98"/>
    <mergeCell ref="B97:F97"/>
    <mergeCell ref="K99:O99"/>
    <mergeCell ref="B98:F98"/>
    <mergeCell ref="G98:H99"/>
    <mergeCell ref="I98:I99"/>
    <mergeCell ref="K100:O100"/>
    <mergeCell ref="A104:A107"/>
    <mergeCell ref="B102:F102"/>
    <mergeCell ref="J102:J105"/>
    <mergeCell ref="K104:O104"/>
    <mergeCell ref="B103:F103"/>
    <mergeCell ref="K105:O105"/>
    <mergeCell ref="B104:F104"/>
    <mergeCell ref="K106:O106"/>
    <mergeCell ref="B105:F105"/>
    <mergeCell ref="K107:O107"/>
    <mergeCell ref="B108:F108"/>
    <mergeCell ref="G108:H109"/>
    <mergeCell ref="I108:I109"/>
    <mergeCell ref="K110:O110"/>
    <mergeCell ref="P110:Q111"/>
    <mergeCell ref="R110:R111"/>
    <mergeCell ref="B109:F109"/>
    <mergeCell ref="K111:O111"/>
    <mergeCell ref="B106:F106"/>
    <mergeCell ref="G106:H106"/>
    <mergeCell ref="K108:O108"/>
    <mergeCell ref="P108:Q108"/>
    <mergeCell ref="B107:F107"/>
    <mergeCell ref="G107:H107"/>
    <mergeCell ref="K109:O109"/>
    <mergeCell ref="P109:Q109"/>
    <mergeCell ref="B112:F112"/>
    <mergeCell ref="G112:I112"/>
    <mergeCell ref="K114:O114"/>
    <mergeCell ref="P114:R114"/>
    <mergeCell ref="B113:F113"/>
    <mergeCell ref="G113:I113"/>
    <mergeCell ref="K115:O115"/>
    <mergeCell ref="P115:R115"/>
    <mergeCell ref="B110:F110"/>
    <mergeCell ref="G110:H110"/>
    <mergeCell ref="K112:O112"/>
    <mergeCell ref="P112:Q112"/>
    <mergeCell ref="B111:F111"/>
    <mergeCell ref="G111:H111"/>
    <mergeCell ref="K113:O113"/>
    <mergeCell ref="P113:Q113"/>
    <mergeCell ref="B114:F114"/>
    <mergeCell ref="G114:I114"/>
    <mergeCell ref="K116:O116"/>
    <mergeCell ref="P116:R116"/>
    <mergeCell ref="K117:R117"/>
    <mergeCell ref="A124:A125"/>
    <mergeCell ref="B122:F123"/>
    <mergeCell ref="G122:H123"/>
    <mergeCell ref="I122:I123"/>
    <mergeCell ref="J122:J123"/>
    <mergeCell ref="R128:R129"/>
    <mergeCell ref="B127:F127"/>
    <mergeCell ref="K129:O129"/>
    <mergeCell ref="B128:F128"/>
    <mergeCell ref="K124:O125"/>
    <mergeCell ref="P124:Q125"/>
    <mergeCell ref="R124:R125"/>
    <mergeCell ref="A126:A127"/>
    <mergeCell ref="B124:F125"/>
    <mergeCell ref="G124:I125"/>
    <mergeCell ref="J124:J125"/>
    <mergeCell ref="K126:O127"/>
    <mergeCell ref="P126:R127"/>
    <mergeCell ref="P131:Q131"/>
    <mergeCell ref="B130:F130"/>
    <mergeCell ref="G130:H130"/>
    <mergeCell ref="K132:O132"/>
    <mergeCell ref="P132:Q132"/>
    <mergeCell ref="B126:F126"/>
    <mergeCell ref="G126:H128"/>
    <mergeCell ref="I126:I127"/>
    <mergeCell ref="K128:O128"/>
    <mergeCell ref="P128:Q130"/>
    <mergeCell ref="K130:O130"/>
    <mergeCell ref="B129:F129"/>
    <mergeCell ref="G129:H129"/>
    <mergeCell ref="B131:F131"/>
    <mergeCell ref="G131:H134"/>
    <mergeCell ref="I131:I133"/>
    <mergeCell ref="K133:O133"/>
    <mergeCell ref="B132:F132"/>
    <mergeCell ref="K134:O134"/>
    <mergeCell ref="B133:F133"/>
    <mergeCell ref="K135:O135"/>
    <mergeCell ref="K131:O131"/>
    <mergeCell ref="B138:F138"/>
    <mergeCell ref="G138:H142"/>
    <mergeCell ref="I138:I142"/>
    <mergeCell ref="K140:O140"/>
    <mergeCell ref="P140:Q144"/>
    <mergeCell ref="R140:R144"/>
    <mergeCell ref="P137:Q138"/>
    <mergeCell ref="R137:R138"/>
    <mergeCell ref="B136:F136"/>
    <mergeCell ref="K138:O138"/>
    <mergeCell ref="B137:F137"/>
    <mergeCell ref="G137:H137"/>
    <mergeCell ref="K139:O139"/>
    <mergeCell ref="P139:Q139"/>
    <mergeCell ref="P133:Q136"/>
    <mergeCell ref="R133:R135"/>
    <mergeCell ref="B134:F134"/>
    <mergeCell ref="K136:O136"/>
    <mergeCell ref="B135:F135"/>
    <mergeCell ref="G135:H136"/>
    <mergeCell ref="I135:I136"/>
    <mergeCell ref="K137:O137"/>
    <mergeCell ref="A141:A144"/>
    <mergeCell ref="B139:F139"/>
    <mergeCell ref="J139:J142"/>
    <mergeCell ref="K141:O141"/>
    <mergeCell ref="B140:F140"/>
    <mergeCell ref="K142:O142"/>
    <mergeCell ref="B141:F141"/>
    <mergeCell ref="K143:O143"/>
    <mergeCell ref="B142:F142"/>
    <mergeCell ref="K144:O144"/>
    <mergeCell ref="B145:F145"/>
    <mergeCell ref="G145:H146"/>
    <mergeCell ref="I145:I146"/>
    <mergeCell ref="K147:O147"/>
    <mergeCell ref="P147:Q148"/>
    <mergeCell ref="R147:R148"/>
    <mergeCell ref="B146:F146"/>
    <mergeCell ref="K148:O148"/>
    <mergeCell ref="B143:F143"/>
    <mergeCell ref="G143:H143"/>
    <mergeCell ref="K145:O145"/>
    <mergeCell ref="P145:Q145"/>
    <mergeCell ref="B144:F144"/>
    <mergeCell ref="G144:H144"/>
    <mergeCell ref="K146:O146"/>
    <mergeCell ref="P146:Q146"/>
    <mergeCell ref="B149:F149"/>
    <mergeCell ref="G149:I149"/>
    <mergeCell ref="K151:O151"/>
    <mergeCell ref="P151:R151"/>
    <mergeCell ref="B150:F150"/>
    <mergeCell ref="G150:I150"/>
    <mergeCell ref="K152:O152"/>
    <mergeCell ref="P152:R152"/>
    <mergeCell ref="B147:F147"/>
    <mergeCell ref="G147:H147"/>
    <mergeCell ref="K149:O149"/>
    <mergeCell ref="P149:Q149"/>
    <mergeCell ref="B148:F148"/>
    <mergeCell ref="G148:H148"/>
    <mergeCell ref="K150:O150"/>
    <mergeCell ref="P150:Q150"/>
    <mergeCell ref="B151:F151"/>
    <mergeCell ref="G151:I151"/>
    <mergeCell ref="K153:O153"/>
    <mergeCell ref="P153:R153"/>
    <mergeCell ref="A161:A162"/>
    <mergeCell ref="B159:F160"/>
    <mergeCell ref="G159:H160"/>
    <mergeCell ref="I159:I160"/>
    <mergeCell ref="J159:J160"/>
    <mergeCell ref="K161:O162"/>
    <mergeCell ref="R165:R166"/>
    <mergeCell ref="B164:F164"/>
    <mergeCell ref="K166:O166"/>
    <mergeCell ref="B165:F165"/>
    <mergeCell ref="K154:R154"/>
    <mergeCell ref="P161:Q162"/>
    <mergeCell ref="R161:R162"/>
    <mergeCell ref="A163:A164"/>
    <mergeCell ref="B161:F162"/>
    <mergeCell ref="G161:I162"/>
    <mergeCell ref="J161:J162"/>
    <mergeCell ref="K163:O164"/>
    <mergeCell ref="P163:R164"/>
    <mergeCell ref="B166:F166"/>
    <mergeCell ref="G166:H166"/>
    <mergeCell ref="P168:Q168"/>
    <mergeCell ref="B167:F167"/>
    <mergeCell ref="G167:H167"/>
    <mergeCell ref="K169:O169"/>
    <mergeCell ref="P169:Q169"/>
    <mergeCell ref="B163:F163"/>
    <mergeCell ref="G163:H165"/>
    <mergeCell ref="I163:I164"/>
    <mergeCell ref="K165:O165"/>
    <mergeCell ref="P165:Q167"/>
    <mergeCell ref="K167:O167"/>
    <mergeCell ref="B168:F168"/>
    <mergeCell ref="G168:H171"/>
    <mergeCell ref="I168:I170"/>
    <mergeCell ref="K170:O170"/>
    <mergeCell ref="B169:F169"/>
    <mergeCell ref="K171:O171"/>
    <mergeCell ref="B170:F170"/>
    <mergeCell ref="K172:O172"/>
    <mergeCell ref="K168:O168"/>
    <mergeCell ref="B175:F175"/>
    <mergeCell ref="G175:H179"/>
    <mergeCell ref="I175:I179"/>
    <mergeCell ref="K177:O177"/>
    <mergeCell ref="P177:Q181"/>
    <mergeCell ref="R177:R181"/>
    <mergeCell ref="P174:Q175"/>
    <mergeCell ref="R174:R175"/>
    <mergeCell ref="B173:F173"/>
    <mergeCell ref="K175:O175"/>
    <mergeCell ref="B174:F174"/>
    <mergeCell ref="G174:H174"/>
    <mergeCell ref="K176:O176"/>
    <mergeCell ref="P176:Q176"/>
    <mergeCell ref="P170:Q173"/>
    <mergeCell ref="R170:R172"/>
    <mergeCell ref="B171:F171"/>
    <mergeCell ref="K173:O173"/>
    <mergeCell ref="B172:F172"/>
    <mergeCell ref="G172:H173"/>
    <mergeCell ref="I172:I173"/>
    <mergeCell ref="K174:O174"/>
    <mergeCell ref="A178:A181"/>
    <mergeCell ref="B176:F176"/>
    <mergeCell ref="J176:J179"/>
    <mergeCell ref="K178:O178"/>
    <mergeCell ref="B177:F177"/>
    <mergeCell ref="K179:O179"/>
    <mergeCell ref="B178:F178"/>
    <mergeCell ref="K180:O180"/>
    <mergeCell ref="B179:F179"/>
    <mergeCell ref="K181:O181"/>
    <mergeCell ref="B182:F182"/>
    <mergeCell ref="G182:H183"/>
    <mergeCell ref="I182:I183"/>
    <mergeCell ref="K184:O184"/>
    <mergeCell ref="P184:Q185"/>
    <mergeCell ref="R184:R185"/>
    <mergeCell ref="B183:F183"/>
    <mergeCell ref="K185:O185"/>
    <mergeCell ref="B180:F180"/>
    <mergeCell ref="G180:H180"/>
    <mergeCell ref="K182:O182"/>
    <mergeCell ref="P182:Q182"/>
    <mergeCell ref="B181:F181"/>
    <mergeCell ref="G181:H181"/>
    <mergeCell ref="K183:O183"/>
    <mergeCell ref="P183:Q183"/>
    <mergeCell ref="B186:F186"/>
    <mergeCell ref="G186:I186"/>
    <mergeCell ref="K188:O188"/>
    <mergeCell ref="P188:R188"/>
    <mergeCell ref="B187:F187"/>
    <mergeCell ref="G187:I187"/>
    <mergeCell ref="K189:O189"/>
    <mergeCell ref="P189:R189"/>
    <mergeCell ref="B184:F184"/>
    <mergeCell ref="G184:H184"/>
    <mergeCell ref="K186:O186"/>
    <mergeCell ref="P186:Q186"/>
    <mergeCell ref="B185:F185"/>
    <mergeCell ref="G185:H185"/>
    <mergeCell ref="K187:O187"/>
    <mergeCell ref="P187:Q187"/>
    <mergeCell ref="B188:F188"/>
    <mergeCell ref="G188:I188"/>
    <mergeCell ref="K190:O190"/>
    <mergeCell ref="P190:R190"/>
    <mergeCell ref="B189:I189"/>
    <mergeCell ref="A199:A200"/>
    <mergeCell ref="B197:F198"/>
    <mergeCell ref="G197:H198"/>
    <mergeCell ref="I197:I198"/>
    <mergeCell ref="J197:J198"/>
    <mergeCell ref="R203:R204"/>
    <mergeCell ref="B202:F202"/>
    <mergeCell ref="K204:O204"/>
    <mergeCell ref="B203:F203"/>
    <mergeCell ref="K199:O200"/>
    <mergeCell ref="P199:Q200"/>
    <mergeCell ref="R199:R200"/>
    <mergeCell ref="A201:A202"/>
    <mergeCell ref="B199:F200"/>
    <mergeCell ref="G199:I200"/>
    <mergeCell ref="J199:J200"/>
    <mergeCell ref="K201:O202"/>
    <mergeCell ref="P201:R202"/>
    <mergeCell ref="P206:Q206"/>
    <mergeCell ref="B205:F205"/>
    <mergeCell ref="G205:H205"/>
    <mergeCell ref="K207:O207"/>
    <mergeCell ref="P207:Q207"/>
    <mergeCell ref="B201:F201"/>
    <mergeCell ref="G201:H203"/>
    <mergeCell ref="I201:I202"/>
    <mergeCell ref="K203:O203"/>
    <mergeCell ref="P203:Q205"/>
    <mergeCell ref="K205:O205"/>
    <mergeCell ref="B204:F204"/>
    <mergeCell ref="G204:H204"/>
    <mergeCell ref="B206:F206"/>
    <mergeCell ref="G206:H209"/>
    <mergeCell ref="I206:I208"/>
    <mergeCell ref="K208:O208"/>
    <mergeCell ref="B207:F207"/>
    <mergeCell ref="K209:O209"/>
    <mergeCell ref="B208:F208"/>
    <mergeCell ref="K210:O210"/>
    <mergeCell ref="K206:O206"/>
    <mergeCell ref="B213:F213"/>
    <mergeCell ref="G213:H217"/>
    <mergeCell ref="I213:I217"/>
    <mergeCell ref="K215:O215"/>
    <mergeCell ref="P215:Q219"/>
    <mergeCell ref="R215:R219"/>
    <mergeCell ref="P212:Q213"/>
    <mergeCell ref="R212:R213"/>
    <mergeCell ref="B211:F211"/>
    <mergeCell ref="K213:O213"/>
    <mergeCell ref="B212:F212"/>
    <mergeCell ref="G212:H212"/>
    <mergeCell ref="K214:O214"/>
    <mergeCell ref="P214:Q214"/>
    <mergeCell ref="P208:Q211"/>
    <mergeCell ref="R208:R210"/>
    <mergeCell ref="B209:F209"/>
    <mergeCell ref="K211:O211"/>
    <mergeCell ref="B210:F210"/>
    <mergeCell ref="G210:H211"/>
    <mergeCell ref="I210:I211"/>
    <mergeCell ref="K212:O212"/>
    <mergeCell ref="A216:A219"/>
    <mergeCell ref="B214:F214"/>
    <mergeCell ref="J214:J217"/>
    <mergeCell ref="K216:O216"/>
    <mergeCell ref="B215:F215"/>
    <mergeCell ref="K217:O217"/>
    <mergeCell ref="B216:F216"/>
    <mergeCell ref="K218:O218"/>
    <mergeCell ref="B217:F217"/>
    <mergeCell ref="K219:O219"/>
    <mergeCell ref="B218:F218"/>
    <mergeCell ref="G218:H218"/>
    <mergeCell ref="K220:O220"/>
    <mergeCell ref="P220:Q220"/>
    <mergeCell ref="B219:F219"/>
    <mergeCell ref="G219:H219"/>
    <mergeCell ref="K221:O221"/>
    <mergeCell ref="P221:Q221"/>
    <mergeCell ref="B222:F222"/>
    <mergeCell ref="G222:H222"/>
    <mergeCell ref="B220:F220"/>
    <mergeCell ref="G220:H221"/>
    <mergeCell ref="I220:I221"/>
    <mergeCell ref="K222:O222"/>
    <mergeCell ref="P222:Q223"/>
    <mergeCell ref="K228:O228"/>
    <mergeCell ref="P228:R228"/>
    <mergeCell ref="B227:I227"/>
    <mergeCell ref="R222:R223"/>
    <mergeCell ref="B221:F221"/>
    <mergeCell ref="K223:O223"/>
    <mergeCell ref="B223:F223"/>
    <mergeCell ref="G223:H223"/>
    <mergeCell ref="K229:R229"/>
    <mergeCell ref="B224:F224"/>
    <mergeCell ref="G224:I224"/>
    <mergeCell ref="K226:O226"/>
    <mergeCell ref="P226:R226"/>
    <mergeCell ref="B225:F225"/>
    <mergeCell ref="G225:I225"/>
    <mergeCell ref="K227:O227"/>
    <mergeCell ref="P227:R227"/>
    <mergeCell ref="K224:O224"/>
    <mergeCell ref="P224:Q224"/>
    <mergeCell ref="K225:O225"/>
    <mergeCell ref="P225:Q225"/>
    <mergeCell ref="A236:A237"/>
    <mergeCell ref="B234:F235"/>
    <mergeCell ref="G234:H235"/>
    <mergeCell ref="I234:I235"/>
    <mergeCell ref="A238:A239"/>
    <mergeCell ref="B236:F237"/>
    <mergeCell ref="G236:I237"/>
    <mergeCell ref="B226:F226"/>
    <mergeCell ref="G226:I226"/>
    <mergeCell ref="B242:F242"/>
    <mergeCell ref="G242:H242"/>
    <mergeCell ref="B243:F243"/>
    <mergeCell ref="G243:H246"/>
    <mergeCell ref="I243:I245"/>
    <mergeCell ref="B244:F244"/>
    <mergeCell ref="B245:F245"/>
    <mergeCell ref="B246:F246"/>
    <mergeCell ref="B238:F238"/>
    <mergeCell ref="G238:H240"/>
    <mergeCell ref="I238:I239"/>
    <mergeCell ref="B239:F239"/>
    <mergeCell ref="B240:F240"/>
    <mergeCell ref="B241:F241"/>
    <mergeCell ref="G241:H241"/>
    <mergeCell ref="A253:A256"/>
    <mergeCell ref="B251:F251"/>
    <mergeCell ref="B252:F252"/>
    <mergeCell ref="B253:F253"/>
    <mergeCell ref="B254:F254"/>
    <mergeCell ref="B247:F247"/>
    <mergeCell ref="G247:H248"/>
    <mergeCell ref="I247:I248"/>
    <mergeCell ref="B248:F248"/>
    <mergeCell ref="B249:F249"/>
    <mergeCell ref="G249:H249"/>
    <mergeCell ref="B255:F255"/>
    <mergeCell ref="G255:H255"/>
    <mergeCell ref="B256:F256"/>
    <mergeCell ref="G256:H256"/>
    <mergeCell ref="B257:F257"/>
    <mergeCell ref="G257:H258"/>
    <mergeCell ref="B250:F250"/>
    <mergeCell ref="G250:H254"/>
    <mergeCell ref="I250:I254"/>
    <mergeCell ref="B264:I264"/>
    <mergeCell ref="B261:F261"/>
    <mergeCell ref="G261:I261"/>
    <mergeCell ref="B262:F262"/>
    <mergeCell ref="G262:I262"/>
    <mergeCell ref="B263:F263"/>
    <mergeCell ref="G263:I263"/>
    <mergeCell ref="I257:I258"/>
    <mergeCell ref="B258:F258"/>
    <mergeCell ref="B259:F259"/>
    <mergeCell ref="G259:H259"/>
    <mergeCell ref="B260:F260"/>
    <mergeCell ref="G260:H260"/>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S275"/>
  <sheetViews>
    <sheetView topLeftCell="C257" zoomScale="85" zoomScaleNormal="85" workbookViewId="0">
      <selection activeCell="G262" sqref="G262:H262"/>
    </sheetView>
  </sheetViews>
  <sheetFormatPr defaultRowHeight="15" x14ac:dyDescent="0.25"/>
  <cols>
    <col min="1" max="1" width="3.42578125" customWidth="1"/>
    <col min="7" max="7" width="10" customWidth="1"/>
    <col min="9" max="9" width="46.140625" customWidth="1"/>
    <col min="10" max="10" width="0.42578125" customWidth="1"/>
    <col min="11" max="11" width="4.42578125" customWidth="1"/>
    <col min="17" max="17" width="10.28515625" customWidth="1"/>
    <col min="19" max="19" width="35.140625" customWidth="1"/>
    <col min="257" max="257" width="3.42578125" customWidth="1"/>
    <col min="263" max="263" width="10" customWidth="1"/>
    <col min="265" max="265" width="46.140625" customWidth="1"/>
    <col min="266" max="266" width="0.42578125" customWidth="1"/>
    <col min="267" max="267" width="4.42578125" customWidth="1"/>
    <col min="273" max="273" width="10.28515625" customWidth="1"/>
    <col min="275" max="275" width="35.140625" customWidth="1"/>
    <col min="513" max="513" width="3.42578125" customWidth="1"/>
    <col min="519" max="519" width="10" customWidth="1"/>
    <col min="521" max="521" width="46.140625" customWidth="1"/>
    <col min="522" max="522" width="0.42578125" customWidth="1"/>
    <col min="523" max="523" width="4.42578125" customWidth="1"/>
    <col min="529" max="529" width="10.28515625" customWidth="1"/>
    <col min="531" max="531" width="35.140625" customWidth="1"/>
    <col min="769" max="769" width="3.42578125" customWidth="1"/>
    <col min="775" max="775" width="10" customWidth="1"/>
    <col min="777" max="777" width="46.140625" customWidth="1"/>
    <col min="778" max="778" width="0.42578125" customWidth="1"/>
    <col min="779" max="779" width="4.42578125" customWidth="1"/>
    <col min="785" max="785" width="10.28515625" customWidth="1"/>
    <col min="787" max="787" width="35.140625" customWidth="1"/>
    <col min="1025" max="1025" width="3.42578125" customWidth="1"/>
    <col min="1031" max="1031" width="10" customWidth="1"/>
    <col min="1033" max="1033" width="46.140625" customWidth="1"/>
    <col min="1034" max="1034" width="0.42578125" customWidth="1"/>
    <col min="1035" max="1035" width="4.42578125" customWidth="1"/>
    <col min="1041" max="1041" width="10.28515625" customWidth="1"/>
    <col min="1043" max="1043" width="35.140625" customWidth="1"/>
    <col min="1281" max="1281" width="3.42578125" customWidth="1"/>
    <col min="1287" max="1287" width="10" customWidth="1"/>
    <col min="1289" max="1289" width="46.140625" customWidth="1"/>
    <col min="1290" max="1290" width="0.42578125" customWidth="1"/>
    <col min="1291" max="1291" width="4.42578125" customWidth="1"/>
    <col min="1297" max="1297" width="10.28515625" customWidth="1"/>
    <col min="1299" max="1299" width="35.140625" customWidth="1"/>
    <col min="1537" max="1537" width="3.42578125" customWidth="1"/>
    <col min="1543" max="1543" width="10" customWidth="1"/>
    <col min="1545" max="1545" width="46.140625" customWidth="1"/>
    <col min="1546" max="1546" width="0.42578125" customWidth="1"/>
    <col min="1547" max="1547" width="4.42578125" customWidth="1"/>
    <col min="1553" max="1553" width="10.28515625" customWidth="1"/>
    <col min="1555" max="1555" width="35.140625" customWidth="1"/>
    <col min="1793" max="1793" width="3.42578125" customWidth="1"/>
    <col min="1799" max="1799" width="10" customWidth="1"/>
    <col min="1801" max="1801" width="46.140625" customWidth="1"/>
    <col min="1802" max="1802" width="0.42578125" customWidth="1"/>
    <col min="1803" max="1803" width="4.42578125" customWidth="1"/>
    <col min="1809" max="1809" width="10.28515625" customWidth="1"/>
    <col min="1811" max="1811" width="35.140625" customWidth="1"/>
    <col min="2049" max="2049" width="3.42578125" customWidth="1"/>
    <col min="2055" max="2055" width="10" customWidth="1"/>
    <col min="2057" max="2057" width="46.140625" customWidth="1"/>
    <col min="2058" max="2058" width="0.42578125" customWidth="1"/>
    <col min="2059" max="2059" width="4.42578125" customWidth="1"/>
    <col min="2065" max="2065" width="10.28515625" customWidth="1"/>
    <col min="2067" max="2067" width="35.140625" customWidth="1"/>
    <col min="2305" max="2305" width="3.42578125" customWidth="1"/>
    <col min="2311" max="2311" width="10" customWidth="1"/>
    <col min="2313" max="2313" width="46.140625" customWidth="1"/>
    <col min="2314" max="2314" width="0.42578125" customWidth="1"/>
    <col min="2315" max="2315" width="4.42578125" customWidth="1"/>
    <col min="2321" max="2321" width="10.28515625" customWidth="1"/>
    <col min="2323" max="2323" width="35.140625" customWidth="1"/>
    <col min="2561" max="2561" width="3.42578125" customWidth="1"/>
    <col min="2567" max="2567" width="10" customWidth="1"/>
    <col min="2569" max="2569" width="46.140625" customWidth="1"/>
    <col min="2570" max="2570" width="0.42578125" customWidth="1"/>
    <col min="2571" max="2571" width="4.42578125" customWidth="1"/>
    <col min="2577" max="2577" width="10.28515625" customWidth="1"/>
    <col min="2579" max="2579" width="35.140625" customWidth="1"/>
    <col min="2817" max="2817" width="3.42578125" customWidth="1"/>
    <col min="2823" max="2823" width="10" customWidth="1"/>
    <col min="2825" max="2825" width="46.140625" customWidth="1"/>
    <col min="2826" max="2826" width="0.42578125" customWidth="1"/>
    <col min="2827" max="2827" width="4.42578125" customWidth="1"/>
    <col min="2833" max="2833" width="10.28515625" customWidth="1"/>
    <col min="2835" max="2835" width="35.140625" customWidth="1"/>
    <col min="3073" max="3073" width="3.42578125" customWidth="1"/>
    <col min="3079" max="3079" width="10" customWidth="1"/>
    <col min="3081" max="3081" width="46.140625" customWidth="1"/>
    <col min="3082" max="3082" width="0.42578125" customWidth="1"/>
    <col min="3083" max="3083" width="4.42578125" customWidth="1"/>
    <col min="3089" max="3089" width="10.28515625" customWidth="1"/>
    <col min="3091" max="3091" width="35.140625" customWidth="1"/>
    <col min="3329" max="3329" width="3.42578125" customWidth="1"/>
    <col min="3335" max="3335" width="10" customWidth="1"/>
    <col min="3337" max="3337" width="46.140625" customWidth="1"/>
    <col min="3338" max="3338" width="0.42578125" customWidth="1"/>
    <col min="3339" max="3339" width="4.42578125" customWidth="1"/>
    <col min="3345" max="3345" width="10.28515625" customWidth="1"/>
    <col min="3347" max="3347" width="35.140625" customWidth="1"/>
    <col min="3585" max="3585" width="3.42578125" customWidth="1"/>
    <col min="3591" max="3591" width="10" customWidth="1"/>
    <col min="3593" max="3593" width="46.140625" customWidth="1"/>
    <col min="3594" max="3594" width="0.42578125" customWidth="1"/>
    <col min="3595" max="3595" width="4.42578125" customWidth="1"/>
    <col min="3601" max="3601" width="10.28515625" customWidth="1"/>
    <col min="3603" max="3603" width="35.140625" customWidth="1"/>
    <col min="3841" max="3841" width="3.42578125" customWidth="1"/>
    <col min="3847" max="3847" width="10" customWidth="1"/>
    <col min="3849" max="3849" width="46.140625" customWidth="1"/>
    <col min="3850" max="3850" width="0.42578125" customWidth="1"/>
    <col min="3851" max="3851" width="4.42578125" customWidth="1"/>
    <col min="3857" max="3857" width="10.28515625" customWidth="1"/>
    <col min="3859" max="3859" width="35.140625" customWidth="1"/>
    <col min="4097" max="4097" width="3.42578125" customWidth="1"/>
    <col min="4103" max="4103" width="10" customWidth="1"/>
    <col min="4105" max="4105" width="46.140625" customWidth="1"/>
    <col min="4106" max="4106" width="0.42578125" customWidth="1"/>
    <col min="4107" max="4107" width="4.42578125" customWidth="1"/>
    <col min="4113" max="4113" width="10.28515625" customWidth="1"/>
    <col min="4115" max="4115" width="35.140625" customWidth="1"/>
    <col min="4353" max="4353" width="3.42578125" customWidth="1"/>
    <col min="4359" max="4359" width="10" customWidth="1"/>
    <col min="4361" max="4361" width="46.140625" customWidth="1"/>
    <col min="4362" max="4362" width="0.42578125" customWidth="1"/>
    <col min="4363" max="4363" width="4.42578125" customWidth="1"/>
    <col min="4369" max="4369" width="10.28515625" customWidth="1"/>
    <col min="4371" max="4371" width="35.140625" customWidth="1"/>
    <col min="4609" max="4609" width="3.42578125" customWidth="1"/>
    <col min="4615" max="4615" width="10" customWidth="1"/>
    <col min="4617" max="4617" width="46.140625" customWidth="1"/>
    <col min="4618" max="4618" width="0.42578125" customWidth="1"/>
    <col min="4619" max="4619" width="4.42578125" customWidth="1"/>
    <col min="4625" max="4625" width="10.28515625" customWidth="1"/>
    <col min="4627" max="4627" width="35.140625" customWidth="1"/>
    <col min="4865" max="4865" width="3.42578125" customWidth="1"/>
    <col min="4871" max="4871" width="10" customWidth="1"/>
    <col min="4873" max="4873" width="46.140625" customWidth="1"/>
    <col min="4874" max="4874" width="0.42578125" customWidth="1"/>
    <col min="4875" max="4875" width="4.42578125" customWidth="1"/>
    <col min="4881" max="4881" width="10.28515625" customWidth="1"/>
    <col min="4883" max="4883" width="35.140625" customWidth="1"/>
    <col min="5121" max="5121" width="3.42578125" customWidth="1"/>
    <col min="5127" max="5127" width="10" customWidth="1"/>
    <col min="5129" max="5129" width="46.140625" customWidth="1"/>
    <col min="5130" max="5130" width="0.42578125" customWidth="1"/>
    <col min="5131" max="5131" width="4.42578125" customWidth="1"/>
    <col min="5137" max="5137" width="10.28515625" customWidth="1"/>
    <col min="5139" max="5139" width="35.140625" customWidth="1"/>
    <col min="5377" max="5377" width="3.42578125" customWidth="1"/>
    <col min="5383" max="5383" width="10" customWidth="1"/>
    <col min="5385" max="5385" width="46.140625" customWidth="1"/>
    <col min="5386" max="5386" width="0.42578125" customWidth="1"/>
    <col min="5387" max="5387" width="4.42578125" customWidth="1"/>
    <col min="5393" max="5393" width="10.28515625" customWidth="1"/>
    <col min="5395" max="5395" width="35.140625" customWidth="1"/>
    <col min="5633" max="5633" width="3.42578125" customWidth="1"/>
    <col min="5639" max="5639" width="10" customWidth="1"/>
    <col min="5641" max="5641" width="46.140625" customWidth="1"/>
    <col min="5642" max="5642" width="0.42578125" customWidth="1"/>
    <col min="5643" max="5643" width="4.42578125" customWidth="1"/>
    <col min="5649" max="5649" width="10.28515625" customWidth="1"/>
    <col min="5651" max="5651" width="35.140625" customWidth="1"/>
    <col min="5889" max="5889" width="3.42578125" customWidth="1"/>
    <col min="5895" max="5895" width="10" customWidth="1"/>
    <col min="5897" max="5897" width="46.140625" customWidth="1"/>
    <col min="5898" max="5898" width="0.42578125" customWidth="1"/>
    <col min="5899" max="5899" width="4.42578125" customWidth="1"/>
    <col min="5905" max="5905" width="10.28515625" customWidth="1"/>
    <col min="5907" max="5907" width="35.140625" customWidth="1"/>
    <col min="6145" max="6145" width="3.42578125" customWidth="1"/>
    <col min="6151" max="6151" width="10" customWidth="1"/>
    <col min="6153" max="6153" width="46.140625" customWidth="1"/>
    <col min="6154" max="6154" width="0.42578125" customWidth="1"/>
    <col min="6155" max="6155" width="4.42578125" customWidth="1"/>
    <col min="6161" max="6161" width="10.28515625" customWidth="1"/>
    <col min="6163" max="6163" width="35.140625" customWidth="1"/>
    <col min="6401" max="6401" width="3.42578125" customWidth="1"/>
    <col min="6407" max="6407" width="10" customWidth="1"/>
    <col min="6409" max="6409" width="46.140625" customWidth="1"/>
    <col min="6410" max="6410" width="0.42578125" customWidth="1"/>
    <col min="6411" max="6411" width="4.42578125" customWidth="1"/>
    <col min="6417" max="6417" width="10.28515625" customWidth="1"/>
    <col min="6419" max="6419" width="35.140625" customWidth="1"/>
    <col min="6657" max="6657" width="3.42578125" customWidth="1"/>
    <col min="6663" max="6663" width="10" customWidth="1"/>
    <col min="6665" max="6665" width="46.140625" customWidth="1"/>
    <col min="6666" max="6666" width="0.42578125" customWidth="1"/>
    <col min="6667" max="6667" width="4.42578125" customWidth="1"/>
    <col min="6673" max="6673" width="10.28515625" customWidth="1"/>
    <col min="6675" max="6675" width="35.140625" customWidth="1"/>
    <col min="6913" max="6913" width="3.42578125" customWidth="1"/>
    <col min="6919" max="6919" width="10" customWidth="1"/>
    <col min="6921" max="6921" width="46.140625" customWidth="1"/>
    <col min="6922" max="6922" width="0.42578125" customWidth="1"/>
    <col min="6923" max="6923" width="4.42578125" customWidth="1"/>
    <col min="6929" max="6929" width="10.28515625" customWidth="1"/>
    <col min="6931" max="6931" width="35.140625" customWidth="1"/>
    <col min="7169" max="7169" width="3.42578125" customWidth="1"/>
    <col min="7175" max="7175" width="10" customWidth="1"/>
    <col min="7177" max="7177" width="46.140625" customWidth="1"/>
    <col min="7178" max="7178" width="0.42578125" customWidth="1"/>
    <col min="7179" max="7179" width="4.42578125" customWidth="1"/>
    <col min="7185" max="7185" width="10.28515625" customWidth="1"/>
    <col min="7187" max="7187" width="35.140625" customWidth="1"/>
    <col min="7425" max="7425" width="3.42578125" customWidth="1"/>
    <col min="7431" max="7431" width="10" customWidth="1"/>
    <col min="7433" max="7433" width="46.140625" customWidth="1"/>
    <col min="7434" max="7434" width="0.42578125" customWidth="1"/>
    <col min="7435" max="7435" width="4.42578125" customWidth="1"/>
    <col min="7441" max="7441" width="10.28515625" customWidth="1"/>
    <col min="7443" max="7443" width="35.140625" customWidth="1"/>
    <col min="7681" max="7681" width="3.42578125" customWidth="1"/>
    <col min="7687" max="7687" width="10" customWidth="1"/>
    <col min="7689" max="7689" width="46.140625" customWidth="1"/>
    <col min="7690" max="7690" width="0.42578125" customWidth="1"/>
    <col min="7691" max="7691" width="4.42578125" customWidth="1"/>
    <col min="7697" max="7697" width="10.28515625" customWidth="1"/>
    <col min="7699" max="7699" width="35.140625" customWidth="1"/>
    <col min="7937" max="7937" width="3.42578125" customWidth="1"/>
    <col min="7943" max="7943" width="10" customWidth="1"/>
    <col min="7945" max="7945" width="46.140625" customWidth="1"/>
    <col min="7946" max="7946" width="0.42578125" customWidth="1"/>
    <col min="7947" max="7947" width="4.42578125" customWidth="1"/>
    <col min="7953" max="7953" width="10.28515625" customWidth="1"/>
    <col min="7955" max="7955" width="35.140625" customWidth="1"/>
    <col min="8193" max="8193" width="3.42578125" customWidth="1"/>
    <col min="8199" max="8199" width="10" customWidth="1"/>
    <col min="8201" max="8201" width="46.140625" customWidth="1"/>
    <col min="8202" max="8202" width="0.42578125" customWidth="1"/>
    <col min="8203" max="8203" width="4.42578125" customWidth="1"/>
    <col min="8209" max="8209" width="10.28515625" customWidth="1"/>
    <col min="8211" max="8211" width="35.140625" customWidth="1"/>
    <col min="8449" max="8449" width="3.42578125" customWidth="1"/>
    <col min="8455" max="8455" width="10" customWidth="1"/>
    <col min="8457" max="8457" width="46.140625" customWidth="1"/>
    <col min="8458" max="8458" width="0.42578125" customWidth="1"/>
    <col min="8459" max="8459" width="4.42578125" customWidth="1"/>
    <col min="8465" max="8465" width="10.28515625" customWidth="1"/>
    <col min="8467" max="8467" width="35.140625" customWidth="1"/>
    <col min="8705" max="8705" width="3.42578125" customWidth="1"/>
    <col min="8711" max="8711" width="10" customWidth="1"/>
    <col min="8713" max="8713" width="46.140625" customWidth="1"/>
    <col min="8714" max="8714" width="0.42578125" customWidth="1"/>
    <col min="8715" max="8715" width="4.42578125" customWidth="1"/>
    <col min="8721" max="8721" width="10.28515625" customWidth="1"/>
    <col min="8723" max="8723" width="35.140625" customWidth="1"/>
    <col min="8961" max="8961" width="3.42578125" customWidth="1"/>
    <col min="8967" max="8967" width="10" customWidth="1"/>
    <col min="8969" max="8969" width="46.140625" customWidth="1"/>
    <col min="8970" max="8970" width="0.42578125" customWidth="1"/>
    <col min="8971" max="8971" width="4.42578125" customWidth="1"/>
    <col min="8977" max="8977" width="10.28515625" customWidth="1"/>
    <col min="8979" max="8979" width="35.140625" customWidth="1"/>
    <col min="9217" max="9217" width="3.42578125" customWidth="1"/>
    <col min="9223" max="9223" width="10" customWidth="1"/>
    <col min="9225" max="9225" width="46.140625" customWidth="1"/>
    <col min="9226" max="9226" width="0.42578125" customWidth="1"/>
    <col min="9227" max="9227" width="4.42578125" customWidth="1"/>
    <col min="9233" max="9233" width="10.28515625" customWidth="1"/>
    <col min="9235" max="9235" width="35.140625" customWidth="1"/>
    <col min="9473" max="9473" width="3.42578125" customWidth="1"/>
    <col min="9479" max="9479" width="10" customWidth="1"/>
    <col min="9481" max="9481" width="46.140625" customWidth="1"/>
    <col min="9482" max="9482" width="0.42578125" customWidth="1"/>
    <col min="9483" max="9483" width="4.42578125" customWidth="1"/>
    <col min="9489" max="9489" width="10.28515625" customWidth="1"/>
    <col min="9491" max="9491" width="35.140625" customWidth="1"/>
    <col min="9729" max="9729" width="3.42578125" customWidth="1"/>
    <col min="9735" max="9735" width="10" customWidth="1"/>
    <col min="9737" max="9737" width="46.140625" customWidth="1"/>
    <col min="9738" max="9738" width="0.42578125" customWidth="1"/>
    <col min="9739" max="9739" width="4.42578125" customWidth="1"/>
    <col min="9745" max="9745" width="10.28515625" customWidth="1"/>
    <col min="9747" max="9747" width="35.140625" customWidth="1"/>
    <col min="9985" max="9985" width="3.42578125" customWidth="1"/>
    <col min="9991" max="9991" width="10" customWidth="1"/>
    <col min="9993" max="9993" width="46.140625" customWidth="1"/>
    <col min="9994" max="9994" width="0.42578125" customWidth="1"/>
    <col min="9995" max="9995" width="4.42578125" customWidth="1"/>
    <col min="10001" max="10001" width="10.28515625" customWidth="1"/>
    <col min="10003" max="10003" width="35.140625" customWidth="1"/>
    <col min="10241" max="10241" width="3.42578125" customWidth="1"/>
    <col min="10247" max="10247" width="10" customWidth="1"/>
    <col min="10249" max="10249" width="46.140625" customWidth="1"/>
    <col min="10250" max="10250" width="0.42578125" customWidth="1"/>
    <col min="10251" max="10251" width="4.42578125" customWidth="1"/>
    <col min="10257" max="10257" width="10.28515625" customWidth="1"/>
    <col min="10259" max="10259" width="35.140625" customWidth="1"/>
    <col min="10497" max="10497" width="3.42578125" customWidth="1"/>
    <col min="10503" max="10503" width="10" customWidth="1"/>
    <col min="10505" max="10505" width="46.140625" customWidth="1"/>
    <col min="10506" max="10506" width="0.42578125" customWidth="1"/>
    <col min="10507" max="10507" width="4.42578125" customWidth="1"/>
    <col min="10513" max="10513" width="10.28515625" customWidth="1"/>
    <col min="10515" max="10515" width="35.140625" customWidth="1"/>
    <col min="10753" max="10753" width="3.42578125" customWidth="1"/>
    <col min="10759" max="10759" width="10" customWidth="1"/>
    <col min="10761" max="10761" width="46.140625" customWidth="1"/>
    <col min="10762" max="10762" width="0.42578125" customWidth="1"/>
    <col min="10763" max="10763" width="4.42578125" customWidth="1"/>
    <col min="10769" max="10769" width="10.28515625" customWidth="1"/>
    <col min="10771" max="10771" width="35.140625" customWidth="1"/>
    <col min="11009" max="11009" width="3.42578125" customWidth="1"/>
    <col min="11015" max="11015" width="10" customWidth="1"/>
    <col min="11017" max="11017" width="46.140625" customWidth="1"/>
    <col min="11018" max="11018" width="0.42578125" customWidth="1"/>
    <col min="11019" max="11019" width="4.42578125" customWidth="1"/>
    <col min="11025" max="11025" width="10.28515625" customWidth="1"/>
    <col min="11027" max="11027" width="35.140625" customWidth="1"/>
    <col min="11265" max="11265" width="3.42578125" customWidth="1"/>
    <col min="11271" max="11271" width="10" customWidth="1"/>
    <col min="11273" max="11273" width="46.140625" customWidth="1"/>
    <col min="11274" max="11274" width="0.42578125" customWidth="1"/>
    <col min="11275" max="11275" width="4.42578125" customWidth="1"/>
    <col min="11281" max="11281" width="10.28515625" customWidth="1"/>
    <col min="11283" max="11283" width="35.140625" customWidth="1"/>
    <col min="11521" max="11521" width="3.42578125" customWidth="1"/>
    <col min="11527" max="11527" width="10" customWidth="1"/>
    <col min="11529" max="11529" width="46.140625" customWidth="1"/>
    <col min="11530" max="11530" width="0.42578125" customWidth="1"/>
    <col min="11531" max="11531" width="4.42578125" customWidth="1"/>
    <col min="11537" max="11537" width="10.28515625" customWidth="1"/>
    <col min="11539" max="11539" width="35.140625" customWidth="1"/>
    <col min="11777" max="11777" width="3.42578125" customWidth="1"/>
    <col min="11783" max="11783" width="10" customWidth="1"/>
    <col min="11785" max="11785" width="46.140625" customWidth="1"/>
    <col min="11786" max="11786" width="0.42578125" customWidth="1"/>
    <col min="11787" max="11787" width="4.42578125" customWidth="1"/>
    <col min="11793" max="11793" width="10.28515625" customWidth="1"/>
    <col min="11795" max="11795" width="35.140625" customWidth="1"/>
    <col min="12033" max="12033" width="3.42578125" customWidth="1"/>
    <col min="12039" max="12039" width="10" customWidth="1"/>
    <col min="12041" max="12041" width="46.140625" customWidth="1"/>
    <col min="12042" max="12042" width="0.42578125" customWidth="1"/>
    <col min="12043" max="12043" width="4.42578125" customWidth="1"/>
    <col min="12049" max="12049" width="10.28515625" customWidth="1"/>
    <col min="12051" max="12051" width="35.140625" customWidth="1"/>
    <col min="12289" max="12289" width="3.42578125" customWidth="1"/>
    <col min="12295" max="12295" width="10" customWidth="1"/>
    <col min="12297" max="12297" width="46.140625" customWidth="1"/>
    <col min="12298" max="12298" width="0.42578125" customWidth="1"/>
    <col min="12299" max="12299" width="4.42578125" customWidth="1"/>
    <col min="12305" max="12305" width="10.28515625" customWidth="1"/>
    <col min="12307" max="12307" width="35.140625" customWidth="1"/>
    <col min="12545" max="12545" width="3.42578125" customWidth="1"/>
    <col min="12551" max="12551" width="10" customWidth="1"/>
    <col min="12553" max="12553" width="46.140625" customWidth="1"/>
    <col min="12554" max="12554" width="0.42578125" customWidth="1"/>
    <col min="12555" max="12555" width="4.42578125" customWidth="1"/>
    <col min="12561" max="12561" width="10.28515625" customWidth="1"/>
    <col min="12563" max="12563" width="35.140625" customWidth="1"/>
    <col min="12801" max="12801" width="3.42578125" customWidth="1"/>
    <col min="12807" max="12807" width="10" customWidth="1"/>
    <col min="12809" max="12809" width="46.140625" customWidth="1"/>
    <col min="12810" max="12810" width="0.42578125" customWidth="1"/>
    <col min="12811" max="12811" width="4.42578125" customWidth="1"/>
    <col min="12817" max="12817" width="10.28515625" customWidth="1"/>
    <col min="12819" max="12819" width="35.140625" customWidth="1"/>
    <col min="13057" max="13057" width="3.42578125" customWidth="1"/>
    <col min="13063" max="13063" width="10" customWidth="1"/>
    <col min="13065" max="13065" width="46.140625" customWidth="1"/>
    <col min="13066" max="13066" width="0.42578125" customWidth="1"/>
    <col min="13067" max="13067" width="4.42578125" customWidth="1"/>
    <col min="13073" max="13073" width="10.28515625" customWidth="1"/>
    <col min="13075" max="13075" width="35.140625" customWidth="1"/>
    <col min="13313" max="13313" width="3.42578125" customWidth="1"/>
    <col min="13319" max="13319" width="10" customWidth="1"/>
    <col min="13321" max="13321" width="46.140625" customWidth="1"/>
    <col min="13322" max="13322" width="0.42578125" customWidth="1"/>
    <col min="13323" max="13323" width="4.42578125" customWidth="1"/>
    <col min="13329" max="13329" width="10.28515625" customWidth="1"/>
    <col min="13331" max="13331" width="35.140625" customWidth="1"/>
    <col min="13569" max="13569" width="3.42578125" customWidth="1"/>
    <col min="13575" max="13575" width="10" customWidth="1"/>
    <col min="13577" max="13577" width="46.140625" customWidth="1"/>
    <col min="13578" max="13578" width="0.42578125" customWidth="1"/>
    <col min="13579" max="13579" width="4.42578125" customWidth="1"/>
    <col min="13585" max="13585" width="10.28515625" customWidth="1"/>
    <col min="13587" max="13587" width="35.140625" customWidth="1"/>
    <col min="13825" max="13825" width="3.42578125" customWidth="1"/>
    <col min="13831" max="13831" width="10" customWidth="1"/>
    <col min="13833" max="13833" width="46.140625" customWidth="1"/>
    <col min="13834" max="13834" width="0.42578125" customWidth="1"/>
    <col min="13835" max="13835" width="4.42578125" customWidth="1"/>
    <col min="13841" max="13841" width="10.28515625" customWidth="1"/>
    <col min="13843" max="13843" width="35.140625" customWidth="1"/>
    <col min="14081" max="14081" width="3.42578125" customWidth="1"/>
    <col min="14087" max="14087" width="10" customWidth="1"/>
    <col min="14089" max="14089" width="46.140625" customWidth="1"/>
    <col min="14090" max="14090" width="0.42578125" customWidth="1"/>
    <col min="14091" max="14091" width="4.42578125" customWidth="1"/>
    <col min="14097" max="14097" width="10.28515625" customWidth="1"/>
    <col min="14099" max="14099" width="35.140625" customWidth="1"/>
    <col min="14337" max="14337" width="3.42578125" customWidth="1"/>
    <col min="14343" max="14343" width="10" customWidth="1"/>
    <col min="14345" max="14345" width="46.140625" customWidth="1"/>
    <col min="14346" max="14346" width="0.42578125" customWidth="1"/>
    <col min="14347" max="14347" width="4.42578125" customWidth="1"/>
    <col min="14353" max="14353" width="10.28515625" customWidth="1"/>
    <col min="14355" max="14355" width="35.140625" customWidth="1"/>
    <col min="14593" max="14593" width="3.42578125" customWidth="1"/>
    <col min="14599" max="14599" width="10" customWidth="1"/>
    <col min="14601" max="14601" width="46.140625" customWidth="1"/>
    <col min="14602" max="14602" width="0.42578125" customWidth="1"/>
    <col min="14603" max="14603" width="4.42578125" customWidth="1"/>
    <col min="14609" max="14609" width="10.28515625" customWidth="1"/>
    <col min="14611" max="14611" width="35.140625" customWidth="1"/>
    <col min="14849" max="14849" width="3.42578125" customWidth="1"/>
    <col min="14855" max="14855" width="10" customWidth="1"/>
    <col min="14857" max="14857" width="46.140625" customWidth="1"/>
    <col min="14858" max="14858" width="0.42578125" customWidth="1"/>
    <col min="14859" max="14859" width="4.42578125" customWidth="1"/>
    <col min="14865" max="14865" width="10.28515625" customWidth="1"/>
    <col min="14867" max="14867" width="35.140625" customWidth="1"/>
    <col min="15105" max="15105" width="3.42578125" customWidth="1"/>
    <col min="15111" max="15111" width="10" customWidth="1"/>
    <col min="15113" max="15113" width="46.140625" customWidth="1"/>
    <col min="15114" max="15114" width="0.42578125" customWidth="1"/>
    <col min="15115" max="15115" width="4.42578125" customWidth="1"/>
    <col min="15121" max="15121" width="10.28515625" customWidth="1"/>
    <col min="15123" max="15123" width="35.140625" customWidth="1"/>
    <col min="15361" max="15361" width="3.42578125" customWidth="1"/>
    <col min="15367" max="15367" width="10" customWidth="1"/>
    <col min="15369" max="15369" width="46.140625" customWidth="1"/>
    <col min="15370" max="15370" width="0.42578125" customWidth="1"/>
    <col min="15371" max="15371" width="4.42578125" customWidth="1"/>
    <col min="15377" max="15377" width="10.28515625" customWidth="1"/>
    <col min="15379" max="15379" width="35.140625" customWidth="1"/>
    <col min="15617" max="15617" width="3.42578125" customWidth="1"/>
    <col min="15623" max="15623" width="10" customWidth="1"/>
    <col min="15625" max="15625" width="46.140625" customWidth="1"/>
    <col min="15626" max="15626" width="0.42578125" customWidth="1"/>
    <col min="15627" max="15627" width="4.42578125" customWidth="1"/>
    <col min="15633" max="15633" width="10.28515625" customWidth="1"/>
    <col min="15635" max="15635" width="35.140625" customWidth="1"/>
    <col min="15873" max="15873" width="3.42578125" customWidth="1"/>
    <col min="15879" max="15879" width="10" customWidth="1"/>
    <col min="15881" max="15881" width="46.140625" customWidth="1"/>
    <col min="15882" max="15882" width="0.42578125" customWidth="1"/>
    <col min="15883" max="15883" width="4.42578125" customWidth="1"/>
    <col min="15889" max="15889" width="10.28515625" customWidth="1"/>
    <col min="15891" max="15891" width="35.140625" customWidth="1"/>
    <col min="16129" max="16129" width="3.42578125" customWidth="1"/>
    <col min="16135" max="16135" width="10" customWidth="1"/>
    <col min="16137" max="16137" width="46.140625" customWidth="1"/>
    <col min="16138" max="16138" width="0.42578125" customWidth="1"/>
    <col min="16139" max="16139" width="4.42578125" customWidth="1"/>
    <col min="16145" max="16145" width="10.28515625" customWidth="1"/>
    <col min="16147" max="16147" width="35.14062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249</v>
      </c>
      <c r="E2" s="3"/>
      <c r="F2" s="3"/>
      <c r="G2" s="3"/>
      <c r="H2" s="3"/>
      <c r="I2" s="3"/>
      <c r="K2" s="3" t="s">
        <v>205</v>
      </c>
      <c r="L2" s="3"/>
      <c r="M2" s="3"/>
      <c r="N2" s="3" t="s">
        <v>250</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f>'[1]Ж-2,3'!$D$9</f>
        <v>6045.4</v>
      </c>
      <c r="G4" s="3" t="s">
        <v>207</v>
      </c>
      <c r="H4" s="3"/>
      <c r="I4" s="3"/>
      <c r="J4" s="3"/>
      <c r="K4" s="3"/>
      <c r="L4" s="5" t="s">
        <v>206</v>
      </c>
      <c r="M4" s="3"/>
      <c r="N4" s="3"/>
      <c r="O4" s="3"/>
      <c r="P4" s="3">
        <v>470</v>
      </c>
      <c r="Q4" s="3" t="s">
        <v>207</v>
      </c>
      <c r="R4" s="3"/>
      <c r="S4" s="3"/>
    </row>
    <row r="5" spans="1:19" ht="15" customHeight="1" x14ac:dyDescent="0.25">
      <c r="A5" s="175" t="s">
        <v>209</v>
      </c>
      <c r="B5" s="177" t="s">
        <v>210</v>
      </c>
      <c r="C5" s="178"/>
      <c r="D5" s="178"/>
      <c r="E5" s="178"/>
      <c r="F5" s="178"/>
      <c r="G5" s="180" t="s">
        <v>441</v>
      </c>
      <c r="H5" s="181"/>
      <c r="I5" s="175" t="s">
        <v>212</v>
      </c>
      <c r="J5" s="31"/>
      <c r="K5" s="175" t="s">
        <v>209</v>
      </c>
      <c r="L5" s="177" t="s">
        <v>210</v>
      </c>
      <c r="M5" s="178"/>
      <c r="N5" s="178"/>
      <c r="O5" s="178"/>
      <c r="P5" s="178"/>
      <c r="Q5" s="180" t="s">
        <v>441</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274">
        <v>472581.65</v>
      </c>
      <c r="H7" s="304"/>
      <c r="I7" s="87"/>
      <c r="J7" s="33"/>
      <c r="K7" s="185" t="s">
        <v>213</v>
      </c>
      <c r="L7" s="187" t="s">
        <v>354</v>
      </c>
      <c r="M7" s="188"/>
      <c r="N7" s="188"/>
      <c r="O7" s="188"/>
      <c r="P7" s="188"/>
      <c r="Q7" s="198">
        <v>868.54</v>
      </c>
      <c r="R7" s="199"/>
      <c r="S7" s="81"/>
    </row>
    <row r="8" spans="1:19" ht="3.75" customHeight="1" thickBot="1" x14ac:dyDescent="0.3">
      <c r="A8" s="186"/>
      <c r="B8" s="189"/>
      <c r="C8" s="189"/>
      <c r="D8" s="189"/>
      <c r="E8" s="189"/>
      <c r="F8" s="189"/>
      <c r="G8" s="305"/>
      <c r="H8" s="306"/>
      <c r="I8" s="91"/>
      <c r="J8" s="34"/>
      <c r="K8" s="186"/>
      <c r="L8" s="189"/>
      <c r="M8" s="189"/>
      <c r="N8" s="189"/>
      <c r="O8" s="189"/>
      <c r="P8" s="189"/>
      <c r="Q8" s="200"/>
      <c r="R8" s="201"/>
      <c r="S8" s="83"/>
    </row>
    <row r="9" spans="1:19" ht="17.25" customHeight="1" x14ac:dyDescent="0.25">
      <c r="A9" s="6"/>
      <c r="B9" s="161" t="s">
        <v>214</v>
      </c>
      <c r="C9" s="162"/>
      <c r="D9" s="162"/>
      <c r="E9" s="162"/>
      <c r="F9" s="162"/>
      <c r="G9" s="163">
        <f>1.99*12*F4</f>
        <v>144364.15199999997</v>
      </c>
      <c r="H9" s="164"/>
      <c r="I9" s="169" t="s">
        <v>215</v>
      </c>
      <c r="J9" s="35"/>
      <c r="K9" s="6"/>
      <c r="L9" s="161" t="s">
        <v>214</v>
      </c>
      <c r="M9" s="162"/>
      <c r="N9" s="162"/>
      <c r="O9" s="162"/>
      <c r="P9" s="162"/>
      <c r="Q9" s="163">
        <f>0.4*12*P4</f>
        <v>2256.0000000000005</v>
      </c>
      <c r="R9" s="164"/>
      <c r="S9" s="169" t="s">
        <v>215</v>
      </c>
    </row>
    <row r="10" spans="1:19" ht="30"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8.75" customHeight="1" thickBot="1" x14ac:dyDescent="0.3">
      <c r="A12" s="7"/>
      <c r="B12" s="141" t="s">
        <v>219</v>
      </c>
      <c r="C12" s="142"/>
      <c r="D12" s="142"/>
      <c r="E12" s="142"/>
      <c r="F12" s="142"/>
      <c r="G12" s="143">
        <f>2600*2*12</f>
        <v>62400</v>
      </c>
      <c r="H12" s="144"/>
      <c r="I12" s="8" t="s">
        <v>220</v>
      </c>
      <c r="J12" s="37"/>
      <c r="K12" s="7"/>
      <c r="L12" s="141" t="s">
        <v>219</v>
      </c>
      <c r="M12" s="142"/>
      <c r="N12" s="142"/>
      <c r="O12" s="142"/>
      <c r="P12" s="142"/>
      <c r="Q12" s="143"/>
      <c r="R12" s="144"/>
      <c r="S12" s="8" t="s">
        <v>220</v>
      </c>
    </row>
    <row r="13" spans="1:19" ht="19.5" customHeight="1" thickBot="1" x14ac:dyDescent="0.3">
      <c r="A13" s="7"/>
      <c r="B13" s="141" t="s">
        <v>221</v>
      </c>
      <c r="C13" s="142"/>
      <c r="D13" s="142"/>
      <c r="E13" s="142"/>
      <c r="F13" s="142"/>
      <c r="G13" s="143">
        <f>0.474*F4*12</f>
        <v>34386.235199999996</v>
      </c>
      <c r="H13" s="144"/>
      <c r="I13" s="8" t="s">
        <v>222</v>
      </c>
      <c r="J13" s="38"/>
      <c r="K13" s="7"/>
      <c r="L13" s="141" t="s">
        <v>221</v>
      </c>
      <c r="M13" s="142"/>
      <c r="N13" s="142"/>
      <c r="O13" s="142"/>
      <c r="P13" s="142"/>
      <c r="Q13" s="143">
        <f>0.4*P4*12</f>
        <v>2256</v>
      </c>
      <c r="R13" s="144"/>
      <c r="S13" s="8" t="s">
        <v>222</v>
      </c>
    </row>
    <row r="14" spans="1:19" ht="13.5" customHeight="1" x14ac:dyDescent="0.25">
      <c r="A14" s="9"/>
      <c r="B14" s="145" t="s">
        <v>223</v>
      </c>
      <c r="C14" s="146"/>
      <c r="D14" s="146"/>
      <c r="E14" s="146"/>
      <c r="F14" s="146"/>
      <c r="G14" s="86">
        <f>1.75*12*F4</f>
        <v>126953.4</v>
      </c>
      <c r="H14" s="147"/>
      <c r="I14" s="152" t="s">
        <v>224</v>
      </c>
      <c r="J14" s="38"/>
      <c r="K14" s="9"/>
      <c r="L14" s="145" t="s">
        <v>223</v>
      </c>
      <c r="M14" s="146"/>
      <c r="N14" s="146"/>
      <c r="O14" s="146"/>
      <c r="P14" s="146"/>
      <c r="Q14" s="86">
        <f>0.02*12*P4</f>
        <v>112.8</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0.048*12*F4</f>
        <v>3482.1504</v>
      </c>
      <c r="H18" s="87"/>
      <c r="I18" s="129" t="s">
        <v>220</v>
      </c>
      <c r="J18" s="36"/>
      <c r="K18" s="12"/>
      <c r="L18" s="125" t="s">
        <v>230</v>
      </c>
      <c r="M18" s="126"/>
      <c r="N18" s="126"/>
      <c r="O18" s="126"/>
      <c r="P18" s="126"/>
      <c r="Q18" s="86"/>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30" customHeight="1" thickBot="1" x14ac:dyDescent="0.3">
      <c r="A21" s="13"/>
      <c r="B21" s="84" t="s">
        <v>233</v>
      </c>
      <c r="C21" s="85"/>
      <c r="D21" s="85"/>
      <c r="E21" s="85"/>
      <c r="F21" s="85"/>
      <c r="G21" s="86">
        <f>1.51*12*F4</f>
        <v>109542.648</v>
      </c>
      <c r="H21" s="87"/>
      <c r="I21" s="299" t="s">
        <v>466</v>
      </c>
      <c r="J21" s="41"/>
      <c r="K21" s="13"/>
      <c r="L21" s="84" t="s">
        <v>233</v>
      </c>
      <c r="M21" s="85"/>
      <c r="N21" s="85"/>
      <c r="O21" s="85"/>
      <c r="P21" s="85"/>
      <c r="Q21" s="86"/>
      <c r="R21" s="87"/>
      <c r="S21" s="92"/>
    </row>
    <row r="22" spans="1:19" ht="36" customHeight="1" x14ac:dyDescent="0.25">
      <c r="A22" s="118"/>
      <c r="B22" s="121" t="s">
        <v>226</v>
      </c>
      <c r="C22" s="122"/>
      <c r="D22" s="122"/>
      <c r="E22" s="122"/>
      <c r="F22" s="122"/>
      <c r="G22" s="88"/>
      <c r="H22" s="89"/>
      <c r="I22" s="300"/>
      <c r="J22" s="41"/>
      <c r="K22" s="118"/>
      <c r="L22" s="121" t="s">
        <v>226</v>
      </c>
      <c r="M22" s="122"/>
      <c r="N22" s="122"/>
      <c r="O22" s="122"/>
      <c r="P22" s="122"/>
      <c r="Q22" s="88"/>
      <c r="R22" s="89"/>
      <c r="S22" s="93"/>
    </row>
    <row r="23" spans="1:19" ht="36.75" customHeight="1" x14ac:dyDescent="0.25">
      <c r="A23" s="119"/>
      <c r="B23" s="121" t="s">
        <v>227</v>
      </c>
      <c r="C23" s="122"/>
      <c r="D23" s="122"/>
      <c r="E23" s="122"/>
      <c r="F23" s="122"/>
      <c r="G23" s="88"/>
      <c r="H23" s="89"/>
      <c r="I23" s="300"/>
      <c r="J23" s="42"/>
      <c r="K23" s="119"/>
      <c r="L23" s="121" t="s">
        <v>227</v>
      </c>
      <c r="M23" s="122"/>
      <c r="N23" s="122"/>
      <c r="O23" s="122"/>
      <c r="P23" s="122"/>
      <c r="Q23" s="88"/>
      <c r="R23" s="89"/>
      <c r="S23" s="93"/>
    </row>
    <row r="24" spans="1:19" ht="42" customHeight="1" x14ac:dyDescent="0.25">
      <c r="A24" s="119"/>
      <c r="B24" s="121" t="s">
        <v>228</v>
      </c>
      <c r="C24" s="122"/>
      <c r="D24" s="122"/>
      <c r="E24" s="122"/>
      <c r="F24" s="122"/>
      <c r="G24" s="88"/>
      <c r="H24" s="89"/>
      <c r="I24" s="300"/>
      <c r="J24" s="43"/>
      <c r="K24" s="119"/>
      <c r="L24" s="121" t="s">
        <v>228</v>
      </c>
      <c r="M24" s="122"/>
      <c r="N24" s="122"/>
      <c r="O24" s="122"/>
      <c r="P24" s="122"/>
      <c r="Q24" s="88"/>
      <c r="R24" s="89"/>
      <c r="S24" s="93"/>
    </row>
    <row r="25" spans="1:19" ht="60.75" customHeight="1" thickBot="1" x14ac:dyDescent="0.3">
      <c r="A25" s="120"/>
      <c r="B25" s="123" t="s">
        <v>234</v>
      </c>
      <c r="C25" s="124"/>
      <c r="D25" s="124"/>
      <c r="E25" s="124"/>
      <c r="F25" s="124"/>
      <c r="G25" s="90"/>
      <c r="H25" s="91"/>
      <c r="I25" s="301"/>
      <c r="J25" s="44"/>
      <c r="K25" s="120"/>
      <c r="L25" s="123" t="s">
        <v>234</v>
      </c>
      <c r="M25" s="124"/>
      <c r="N25" s="124"/>
      <c r="O25" s="124"/>
      <c r="P25" s="124"/>
      <c r="Q25" s="90"/>
      <c r="R25" s="91"/>
      <c r="S25" s="94"/>
    </row>
    <row r="26" spans="1:19" ht="10.5" hidden="1" customHeight="1" x14ac:dyDescent="0.25">
      <c r="A26" s="15"/>
      <c r="B26" s="137"/>
      <c r="C26" s="138"/>
      <c r="D26" s="138"/>
      <c r="E26" s="138"/>
      <c r="F26" s="138"/>
      <c r="G26" s="139"/>
      <c r="H26" s="140"/>
      <c r="I26" s="16"/>
      <c r="J26" s="40"/>
      <c r="K26" s="15"/>
      <c r="L26" s="137"/>
      <c r="M26" s="138"/>
      <c r="N26" s="138"/>
      <c r="O26" s="138"/>
      <c r="P26" s="138"/>
      <c r="Q26" s="139"/>
      <c r="R26" s="140"/>
      <c r="S26" s="16"/>
    </row>
    <row r="27" spans="1:19" ht="27.75" customHeight="1" thickBot="1" x14ac:dyDescent="0.3">
      <c r="A27" s="15"/>
      <c r="B27" s="137" t="s">
        <v>235</v>
      </c>
      <c r="C27" s="138"/>
      <c r="D27" s="138"/>
      <c r="E27" s="138"/>
      <c r="F27" s="138"/>
      <c r="G27" s="139"/>
      <c r="H27" s="140"/>
      <c r="I27" s="16"/>
      <c r="J27" s="45"/>
      <c r="K27" s="15"/>
      <c r="L27" s="137" t="s">
        <v>235</v>
      </c>
      <c r="M27" s="138"/>
      <c r="N27" s="138"/>
      <c r="O27" s="138"/>
      <c r="P27" s="138"/>
      <c r="Q27" s="139"/>
      <c r="R27" s="140"/>
      <c r="S27" s="16"/>
    </row>
    <row r="28" spans="1:19" ht="27" customHeight="1" thickBot="1" x14ac:dyDescent="0.3">
      <c r="A28" s="17"/>
      <c r="B28" s="78" t="s">
        <v>237</v>
      </c>
      <c r="C28" s="79"/>
      <c r="D28" s="79"/>
      <c r="E28" s="79"/>
      <c r="F28" s="79"/>
      <c r="G28" s="86">
        <f>8666+20644</f>
        <v>29310</v>
      </c>
      <c r="H28" s="87"/>
      <c r="I28" s="108" t="s">
        <v>229</v>
      </c>
      <c r="J28" s="41"/>
      <c r="K28" s="17"/>
      <c r="L28" s="78" t="s">
        <v>237</v>
      </c>
      <c r="M28" s="79"/>
      <c r="N28" s="79"/>
      <c r="O28" s="79"/>
      <c r="P28" s="79"/>
      <c r="Q28" s="86">
        <f>0.05*P4*12</f>
        <v>282</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510438.58559999993</v>
      </c>
      <c r="H30" s="115"/>
      <c r="I30" s="20"/>
      <c r="J30" s="47"/>
      <c r="K30" s="19"/>
      <c r="L30" s="112" t="s">
        <v>239</v>
      </c>
      <c r="M30" s="113"/>
      <c r="N30" s="113"/>
      <c r="O30" s="113"/>
      <c r="P30" s="113"/>
      <c r="Q30" s="114">
        <f>SUM(Q9:R29)</f>
        <v>4906.8</v>
      </c>
      <c r="R30" s="115"/>
      <c r="S30" s="20"/>
    </row>
    <row r="31" spans="1:19" ht="14.25" customHeight="1" thickBot="1" x14ac:dyDescent="0.3">
      <c r="A31" s="21"/>
      <c r="B31" s="101" t="s">
        <v>240</v>
      </c>
      <c r="C31" s="102"/>
      <c r="D31" s="102"/>
      <c r="E31" s="102"/>
      <c r="F31" s="102"/>
      <c r="G31" s="116">
        <f>G30*1.2</f>
        <v>612526.30271999992</v>
      </c>
      <c r="H31" s="117"/>
      <c r="I31" s="22"/>
      <c r="J31" s="47"/>
      <c r="K31" s="21"/>
      <c r="L31" s="101" t="s">
        <v>240</v>
      </c>
      <c r="M31" s="102"/>
      <c r="N31" s="102"/>
      <c r="O31" s="102"/>
      <c r="P31" s="102"/>
      <c r="Q31" s="116">
        <f>Q30*1.2</f>
        <v>5888.16</v>
      </c>
      <c r="R31" s="117"/>
      <c r="S31" s="22"/>
    </row>
    <row r="32" spans="1:19" ht="15.75" customHeight="1" thickBot="1" x14ac:dyDescent="0.3">
      <c r="A32" s="24"/>
      <c r="B32" s="96" t="s">
        <v>443</v>
      </c>
      <c r="C32" s="97"/>
      <c r="D32" s="97"/>
      <c r="E32" s="97"/>
      <c r="F32" s="97"/>
      <c r="G32" s="98">
        <v>617883.73</v>
      </c>
      <c r="H32" s="99"/>
      <c r="I32" s="100"/>
      <c r="J32" s="47"/>
      <c r="K32" s="24"/>
      <c r="L32" s="96" t="s">
        <v>443</v>
      </c>
      <c r="M32" s="97"/>
      <c r="N32" s="97"/>
      <c r="O32" s="97"/>
      <c r="P32" s="97"/>
      <c r="Q32" s="98">
        <v>15826.32</v>
      </c>
      <c r="R32" s="99"/>
      <c r="S32" s="100"/>
    </row>
    <row r="33" spans="1:19" ht="15.75" thickBot="1" x14ac:dyDescent="0.3">
      <c r="A33" s="19"/>
      <c r="B33" s="101" t="s">
        <v>242</v>
      </c>
      <c r="C33" s="102"/>
      <c r="D33" s="102"/>
      <c r="E33" s="102"/>
      <c r="F33" s="102"/>
      <c r="G33" s="103">
        <v>641115.16</v>
      </c>
      <c r="H33" s="104"/>
      <c r="I33" s="105"/>
      <c r="J33" s="48"/>
      <c r="K33" s="19"/>
      <c r="L33" s="101" t="s">
        <v>242</v>
      </c>
      <c r="M33" s="102"/>
      <c r="N33" s="102"/>
      <c r="O33" s="102"/>
      <c r="P33" s="102"/>
      <c r="Q33" s="103">
        <v>13966.26</v>
      </c>
      <c r="R33" s="104"/>
      <c r="S33" s="105"/>
    </row>
    <row r="34" spans="1:19" ht="15.75" customHeight="1" thickBot="1" x14ac:dyDescent="0.3">
      <c r="A34" s="19"/>
      <c r="B34" s="106" t="s">
        <v>444</v>
      </c>
      <c r="C34" s="107"/>
      <c r="D34" s="107"/>
      <c r="E34" s="107"/>
      <c r="F34" s="107"/>
      <c r="G34" s="103">
        <v>449350.22</v>
      </c>
      <c r="H34" s="104"/>
      <c r="I34" s="105"/>
      <c r="J34" s="49"/>
      <c r="K34" s="19"/>
      <c r="L34" s="106" t="s">
        <v>444</v>
      </c>
      <c r="M34" s="107"/>
      <c r="N34" s="107"/>
      <c r="O34" s="107"/>
      <c r="P34" s="107"/>
      <c r="Q34" s="103">
        <v>2728.6</v>
      </c>
      <c r="R34" s="104"/>
      <c r="S34" s="105"/>
    </row>
    <row r="35" spans="1:19" x14ac:dyDescent="0.25">
      <c r="A35" s="4"/>
      <c r="B35" s="26"/>
      <c r="C35" s="26"/>
      <c r="D35" s="26"/>
      <c r="E35" s="26"/>
      <c r="F35" s="26"/>
      <c r="G35" s="27"/>
      <c r="H35" s="3"/>
      <c r="I35" s="3"/>
      <c r="K35" s="4"/>
      <c r="L35" s="26"/>
      <c r="M35" s="26"/>
      <c r="N35" s="26"/>
      <c r="O35" s="26"/>
      <c r="P35" s="26"/>
      <c r="Q35" s="27"/>
      <c r="R35" s="3"/>
      <c r="S35" s="3"/>
    </row>
    <row r="36" spans="1:19" x14ac:dyDescent="0.25">
      <c r="E36" s="50"/>
      <c r="I36" s="5"/>
      <c r="O36" s="50"/>
      <c r="S36" s="5"/>
    </row>
    <row r="37" spans="1:19" x14ac:dyDescent="0.25">
      <c r="A37" s="3"/>
      <c r="I37" s="5"/>
      <c r="K37" s="3"/>
      <c r="S37" s="5"/>
    </row>
    <row r="38" spans="1:19" ht="15.75" x14ac:dyDescent="0.25">
      <c r="A38" s="30"/>
      <c r="C38" s="30"/>
      <c r="K38" s="30"/>
      <c r="N38" s="30"/>
    </row>
    <row r="39" spans="1:19" ht="15.75" x14ac:dyDescent="0.25">
      <c r="A39" s="30"/>
      <c r="C39" s="30"/>
      <c r="K39" s="30"/>
      <c r="N39" s="30"/>
    </row>
    <row r="40" spans="1:19" x14ac:dyDescent="0.25">
      <c r="A40" s="3"/>
      <c r="B40" s="3"/>
      <c r="C40" s="3"/>
      <c r="D40" s="3"/>
      <c r="E40" s="4" t="s">
        <v>204</v>
      </c>
      <c r="F40" s="3"/>
      <c r="G40" s="3"/>
      <c r="H40" s="3"/>
      <c r="I40" s="3"/>
      <c r="K40" s="3"/>
      <c r="L40" s="3"/>
      <c r="M40" s="3"/>
      <c r="N40" s="3"/>
      <c r="O40" s="4" t="s">
        <v>204</v>
      </c>
      <c r="P40" s="3"/>
      <c r="Q40" s="3"/>
      <c r="R40" s="3"/>
      <c r="S40" s="3"/>
    </row>
    <row r="41" spans="1:19" x14ac:dyDescent="0.25">
      <c r="A41" s="3" t="s">
        <v>205</v>
      </c>
      <c r="B41" s="3"/>
      <c r="C41" s="3"/>
      <c r="D41" s="3" t="s">
        <v>251</v>
      </c>
      <c r="E41" s="3"/>
      <c r="F41" s="3"/>
      <c r="G41" s="3"/>
      <c r="H41" s="3"/>
      <c r="I41" s="3"/>
      <c r="K41" s="3" t="s">
        <v>205</v>
      </c>
      <c r="L41" s="3"/>
      <c r="M41" s="3"/>
      <c r="N41" s="3" t="s">
        <v>252</v>
      </c>
      <c r="O41" s="3"/>
      <c r="P41" s="3"/>
      <c r="Q41" s="3"/>
      <c r="R41" s="3"/>
      <c r="S41" s="3"/>
    </row>
    <row r="42" spans="1:19" x14ac:dyDescent="0.25">
      <c r="A42" s="3"/>
      <c r="B42" s="5" t="s">
        <v>440</v>
      </c>
      <c r="C42" s="3"/>
      <c r="D42" s="3"/>
      <c r="E42" s="3"/>
      <c r="F42" s="3"/>
      <c r="G42" s="3"/>
      <c r="H42" s="3"/>
      <c r="I42" s="3"/>
      <c r="J42" s="3"/>
      <c r="K42" s="3"/>
      <c r="L42" s="5" t="s">
        <v>440</v>
      </c>
      <c r="M42" s="3"/>
      <c r="N42" s="3"/>
      <c r="O42" s="3"/>
      <c r="P42" s="3"/>
      <c r="Q42" s="3"/>
      <c r="R42" s="3"/>
      <c r="S42" s="3"/>
    </row>
    <row r="43" spans="1:19" ht="15.75" thickBot="1" x14ac:dyDescent="0.3">
      <c r="A43" s="3"/>
      <c r="B43" s="5" t="s">
        <v>206</v>
      </c>
      <c r="C43" s="3"/>
      <c r="D43" s="3"/>
      <c r="E43" s="3"/>
      <c r="F43" s="3">
        <f>'[1]Ж-2,3'!$F$9</f>
        <v>4896.3</v>
      </c>
      <c r="G43" s="3" t="s">
        <v>207</v>
      </c>
      <c r="H43" s="3"/>
      <c r="I43" s="3"/>
      <c r="J43" s="3"/>
      <c r="K43" s="3"/>
      <c r="L43" s="5" t="s">
        <v>206</v>
      </c>
      <c r="M43" s="3"/>
      <c r="N43" s="3"/>
      <c r="O43" s="3"/>
      <c r="P43" s="3">
        <f>'[1]Ж-2,3'!$G$9</f>
        <v>14583.6</v>
      </c>
      <c r="Q43" s="3" t="s">
        <v>207</v>
      </c>
      <c r="R43" s="3"/>
      <c r="S43" s="3"/>
    </row>
    <row r="44" spans="1:19" ht="15" customHeight="1" x14ac:dyDescent="0.25">
      <c r="A44" s="175" t="s">
        <v>209</v>
      </c>
      <c r="B44" s="177" t="s">
        <v>210</v>
      </c>
      <c r="C44" s="178"/>
      <c r="D44" s="178"/>
      <c r="E44" s="178"/>
      <c r="F44" s="178"/>
      <c r="G44" s="180" t="s">
        <v>441</v>
      </c>
      <c r="H44" s="181"/>
      <c r="I44" s="175" t="s">
        <v>212</v>
      </c>
      <c r="J44" s="51"/>
      <c r="K44" s="175" t="s">
        <v>209</v>
      </c>
      <c r="L44" s="177" t="s">
        <v>210</v>
      </c>
      <c r="M44" s="178"/>
      <c r="N44" s="178"/>
      <c r="O44" s="178"/>
      <c r="P44" s="178"/>
      <c r="Q44" s="180" t="s">
        <v>441</v>
      </c>
      <c r="R44" s="181"/>
      <c r="S44" s="175" t="s">
        <v>212</v>
      </c>
    </row>
    <row r="45" spans="1:19" ht="69" customHeight="1" thickBot="1" x14ac:dyDescent="0.3">
      <c r="A45" s="176"/>
      <c r="B45" s="179"/>
      <c r="C45" s="179"/>
      <c r="D45" s="179"/>
      <c r="E45" s="179"/>
      <c r="F45" s="179"/>
      <c r="G45" s="182"/>
      <c r="H45" s="183"/>
      <c r="I45" s="184"/>
      <c r="J45" s="52"/>
      <c r="K45" s="176"/>
      <c r="L45" s="179"/>
      <c r="M45" s="179"/>
      <c r="N45" s="179"/>
      <c r="O45" s="179"/>
      <c r="P45" s="179"/>
      <c r="Q45" s="182"/>
      <c r="R45" s="183"/>
      <c r="S45" s="184"/>
    </row>
    <row r="46" spans="1:19" ht="15" customHeight="1" x14ac:dyDescent="0.25">
      <c r="A46" s="185" t="s">
        <v>213</v>
      </c>
      <c r="B46" s="187" t="s">
        <v>354</v>
      </c>
      <c r="C46" s="188"/>
      <c r="D46" s="188"/>
      <c r="E46" s="188"/>
      <c r="F46" s="188"/>
      <c r="G46" s="190">
        <v>65452.19</v>
      </c>
      <c r="H46" s="191"/>
      <c r="I46" s="192"/>
      <c r="J46" s="53"/>
      <c r="K46" s="185" t="s">
        <v>213</v>
      </c>
      <c r="L46" s="187" t="s">
        <v>354</v>
      </c>
      <c r="M46" s="188"/>
      <c r="N46" s="188"/>
      <c r="O46" s="188"/>
      <c r="P46" s="188"/>
      <c r="Q46" s="190">
        <v>243650.45</v>
      </c>
      <c r="R46" s="191"/>
      <c r="S46" s="192"/>
    </row>
    <row r="47" spans="1:19" ht="7.5" customHeight="1" thickBot="1" x14ac:dyDescent="0.3">
      <c r="A47" s="186"/>
      <c r="B47" s="189"/>
      <c r="C47" s="189"/>
      <c r="D47" s="189"/>
      <c r="E47" s="189"/>
      <c r="F47" s="189"/>
      <c r="G47" s="193"/>
      <c r="H47" s="194"/>
      <c r="I47" s="128"/>
      <c r="J47" s="54"/>
      <c r="K47" s="186"/>
      <c r="L47" s="189"/>
      <c r="M47" s="189"/>
      <c r="N47" s="189"/>
      <c r="O47" s="189"/>
      <c r="P47" s="189"/>
      <c r="Q47" s="193"/>
      <c r="R47" s="194"/>
      <c r="S47" s="128"/>
    </row>
    <row r="48" spans="1:19" ht="17.25" customHeight="1" x14ac:dyDescent="0.25">
      <c r="A48" s="6"/>
      <c r="B48" s="161" t="s">
        <v>214</v>
      </c>
      <c r="C48" s="162"/>
      <c r="D48" s="162"/>
      <c r="E48" s="162"/>
      <c r="F48" s="162"/>
      <c r="G48" s="163">
        <f>1.69*12*F43</f>
        <v>99296.964000000007</v>
      </c>
      <c r="H48" s="164"/>
      <c r="I48" s="169" t="s">
        <v>215</v>
      </c>
      <c r="J48" s="42"/>
      <c r="K48" s="6"/>
      <c r="L48" s="161" t="s">
        <v>214</v>
      </c>
      <c r="M48" s="162"/>
      <c r="N48" s="162"/>
      <c r="O48" s="162"/>
      <c r="P48" s="162"/>
      <c r="Q48" s="163">
        <f>1.77*12*P43</f>
        <v>309755.66400000005</v>
      </c>
      <c r="R48" s="164"/>
      <c r="S48" s="169" t="s">
        <v>215</v>
      </c>
    </row>
    <row r="49" spans="1:19" ht="13.5" customHeight="1" thickBot="1" x14ac:dyDescent="0.3">
      <c r="A49" s="7"/>
      <c r="B49" s="171" t="s">
        <v>216</v>
      </c>
      <c r="C49" s="172"/>
      <c r="D49" s="172"/>
      <c r="E49" s="172"/>
      <c r="F49" s="172"/>
      <c r="G49" s="165"/>
      <c r="H49" s="166"/>
      <c r="I49" s="170"/>
      <c r="J49" s="43"/>
      <c r="K49" s="7"/>
      <c r="L49" s="171" t="s">
        <v>216</v>
      </c>
      <c r="M49" s="172"/>
      <c r="N49" s="172"/>
      <c r="O49" s="172"/>
      <c r="P49" s="172"/>
      <c r="Q49" s="165"/>
      <c r="R49" s="166"/>
      <c r="S49" s="170"/>
    </row>
    <row r="50" spans="1:19" ht="13.5" customHeight="1" thickBot="1" x14ac:dyDescent="0.3">
      <c r="A50" s="7"/>
      <c r="B50" s="173" t="s">
        <v>217</v>
      </c>
      <c r="C50" s="174"/>
      <c r="D50" s="174"/>
      <c r="E50" s="174"/>
      <c r="F50" s="174"/>
      <c r="G50" s="167"/>
      <c r="H50" s="168"/>
      <c r="I50" s="8" t="s">
        <v>218</v>
      </c>
      <c r="J50" s="43"/>
      <c r="K50" s="7"/>
      <c r="L50" s="173" t="s">
        <v>217</v>
      </c>
      <c r="M50" s="174"/>
      <c r="N50" s="174"/>
      <c r="O50" s="174"/>
      <c r="P50" s="174"/>
      <c r="Q50" s="167"/>
      <c r="R50" s="168"/>
      <c r="S50" s="8" t="s">
        <v>218</v>
      </c>
    </row>
    <row r="51" spans="1:19" ht="23.25" customHeight="1" thickBot="1" x14ac:dyDescent="0.3">
      <c r="A51" s="7"/>
      <c r="B51" s="141" t="s">
        <v>219</v>
      </c>
      <c r="C51" s="142"/>
      <c r="D51" s="142"/>
      <c r="E51" s="142"/>
      <c r="F51" s="142"/>
      <c r="G51" s="143">
        <f>1748.85*12*2</f>
        <v>41972.399999999994</v>
      </c>
      <c r="H51" s="144"/>
      <c r="I51" s="8" t="s">
        <v>220</v>
      </c>
      <c r="J51" s="55"/>
      <c r="K51" s="7"/>
      <c r="L51" s="141" t="s">
        <v>219</v>
      </c>
      <c r="M51" s="142"/>
      <c r="N51" s="142"/>
      <c r="O51" s="142"/>
      <c r="P51" s="142"/>
      <c r="Q51" s="143">
        <f>1748.85*7*12</f>
        <v>146903.4</v>
      </c>
      <c r="R51" s="144"/>
      <c r="S51" s="8" t="s">
        <v>220</v>
      </c>
    </row>
    <row r="52" spans="1:19" ht="23.25" customHeight="1" thickBot="1" x14ac:dyDescent="0.3">
      <c r="A52" s="7"/>
      <c r="B52" s="141" t="s">
        <v>221</v>
      </c>
      <c r="C52" s="142"/>
      <c r="D52" s="142"/>
      <c r="E52" s="142"/>
      <c r="F52" s="142"/>
      <c r="G52" s="143">
        <f>0.474*F43*12</f>
        <v>27850.154399999999</v>
      </c>
      <c r="H52" s="144"/>
      <c r="I52" s="8" t="s">
        <v>222</v>
      </c>
      <c r="J52" s="56"/>
      <c r="K52" s="7"/>
      <c r="L52" s="141" t="s">
        <v>221</v>
      </c>
      <c r="M52" s="142"/>
      <c r="N52" s="142"/>
      <c r="O52" s="142"/>
      <c r="P52" s="142"/>
      <c r="Q52" s="143">
        <f>0.474*P43*12</f>
        <v>82951.516799999998</v>
      </c>
      <c r="R52" s="144"/>
      <c r="S52" s="8" t="s">
        <v>222</v>
      </c>
    </row>
    <row r="53" spans="1:19" ht="13.5" customHeight="1" x14ac:dyDescent="0.25">
      <c r="A53" s="9"/>
      <c r="B53" s="145" t="s">
        <v>223</v>
      </c>
      <c r="C53" s="146"/>
      <c r="D53" s="146"/>
      <c r="E53" s="146"/>
      <c r="F53" s="146"/>
      <c r="G53" s="86">
        <f>1.89*12*F43</f>
        <v>111048.084</v>
      </c>
      <c r="H53" s="147"/>
      <c r="I53" s="152" t="s">
        <v>224</v>
      </c>
      <c r="J53" s="56"/>
      <c r="K53" s="9"/>
      <c r="L53" s="145" t="s">
        <v>223</v>
      </c>
      <c r="M53" s="146"/>
      <c r="N53" s="146"/>
      <c r="O53" s="146"/>
      <c r="P53" s="146"/>
      <c r="Q53" s="86">
        <f>1.99*12*P43</f>
        <v>348256.36800000002</v>
      </c>
      <c r="R53" s="147"/>
      <c r="S53" s="152" t="s">
        <v>224</v>
      </c>
    </row>
    <row r="54" spans="1:19" ht="13.5" customHeight="1" x14ac:dyDescent="0.25">
      <c r="A54" s="10"/>
      <c r="B54" s="155" t="s">
        <v>226</v>
      </c>
      <c r="C54" s="156"/>
      <c r="D54" s="156"/>
      <c r="E54" s="156"/>
      <c r="F54" s="156"/>
      <c r="G54" s="148"/>
      <c r="H54" s="149"/>
      <c r="I54" s="153"/>
      <c r="J54" s="57"/>
      <c r="K54" s="10"/>
      <c r="L54" s="155" t="s">
        <v>226</v>
      </c>
      <c r="M54" s="156"/>
      <c r="N54" s="156"/>
      <c r="O54" s="156"/>
      <c r="P54" s="156"/>
      <c r="Q54" s="148"/>
      <c r="R54" s="149"/>
      <c r="S54" s="153"/>
    </row>
    <row r="55" spans="1:19" ht="13.5" customHeight="1" thickBot="1" x14ac:dyDescent="0.3">
      <c r="A55" s="10"/>
      <c r="B55" s="157" t="s">
        <v>227</v>
      </c>
      <c r="C55" s="158"/>
      <c r="D55" s="158"/>
      <c r="E55" s="158"/>
      <c r="F55" s="158"/>
      <c r="G55" s="148"/>
      <c r="H55" s="149"/>
      <c r="I55" s="154"/>
      <c r="J55" s="43"/>
      <c r="K55" s="10"/>
      <c r="L55" s="157" t="s">
        <v>227</v>
      </c>
      <c r="M55" s="158"/>
      <c r="N55" s="158"/>
      <c r="O55" s="158"/>
      <c r="P55" s="158"/>
      <c r="Q55" s="148"/>
      <c r="R55" s="149"/>
      <c r="S55" s="154"/>
    </row>
    <row r="56" spans="1:19" ht="13.5" customHeight="1" thickBot="1" x14ac:dyDescent="0.3">
      <c r="A56" s="10"/>
      <c r="B56" s="159" t="s">
        <v>228</v>
      </c>
      <c r="C56" s="160"/>
      <c r="D56" s="160"/>
      <c r="E56" s="160"/>
      <c r="F56" s="160"/>
      <c r="G56" s="150"/>
      <c r="H56" s="151"/>
      <c r="I56" s="11" t="s">
        <v>229</v>
      </c>
      <c r="J56" s="43"/>
      <c r="K56" s="10"/>
      <c r="L56" s="159" t="s">
        <v>228</v>
      </c>
      <c r="M56" s="160"/>
      <c r="N56" s="160"/>
      <c r="O56" s="160"/>
      <c r="P56" s="160"/>
      <c r="Q56" s="150"/>
      <c r="R56" s="151"/>
      <c r="S56" s="11" t="s">
        <v>229</v>
      </c>
    </row>
    <row r="57" spans="1:19" ht="13.5" customHeight="1" x14ac:dyDescent="0.25">
      <c r="A57" s="12"/>
      <c r="B57" s="125" t="s">
        <v>230</v>
      </c>
      <c r="C57" s="126"/>
      <c r="D57" s="126"/>
      <c r="E57" s="126"/>
      <c r="F57" s="126"/>
      <c r="G57" s="86">
        <f>0.048*12*F43</f>
        <v>2820.2688000000003</v>
      </c>
      <c r="H57" s="87"/>
      <c r="I57" s="129" t="s">
        <v>220</v>
      </c>
      <c r="J57" s="43"/>
      <c r="K57" s="12"/>
      <c r="L57" s="125" t="s">
        <v>230</v>
      </c>
      <c r="M57" s="126"/>
      <c r="N57" s="126"/>
      <c r="O57" s="126"/>
      <c r="P57" s="126"/>
      <c r="Q57" s="86">
        <f>0.048*12*P43</f>
        <v>8400.1536000000015</v>
      </c>
      <c r="R57" s="87"/>
      <c r="S57" s="129" t="s">
        <v>220</v>
      </c>
    </row>
    <row r="58" spans="1:19" ht="13.5" customHeight="1" thickBot="1" x14ac:dyDescent="0.3">
      <c r="A58" s="7"/>
      <c r="B58" s="131" t="s">
        <v>231</v>
      </c>
      <c r="C58" s="132"/>
      <c r="D58" s="132"/>
      <c r="E58" s="132"/>
      <c r="F58" s="132"/>
      <c r="G58" s="127"/>
      <c r="H58" s="128"/>
      <c r="I58" s="130"/>
      <c r="J58" s="43"/>
      <c r="K58" s="7"/>
      <c r="L58" s="131" t="s">
        <v>231</v>
      </c>
      <c r="M58" s="132"/>
      <c r="N58" s="132"/>
      <c r="O58" s="132"/>
      <c r="P58" s="132"/>
      <c r="Q58" s="127"/>
      <c r="R58" s="128"/>
      <c r="S58" s="130"/>
    </row>
    <row r="59" spans="1:19" ht="15.75" customHeight="1" thickBot="1" x14ac:dyDescent="0.3">
      <c r="A59" s="13"/>
      <c r="B59" s="133" t="s">
        <v>232</v>
      </c>
      <c r="C59" s="134"/>
      <c r="D59" s="134"/>
      <c r="E59" s="134"/>
      <c r="F59" s="134"/>
      <c r="G59" s="135"/>
      <c r="H59" s="136"/>
      <c r="I59" s="14"/>
      <c r="J59" s="58"/>
      <c r="K59" s="13"/>
      <c r="L59" s="133" t="s">
        <v>232</v>
      </c>
      <c r="M59" s="134"/>
      <c r="N59" s="134"/>
      <c r="O59" s="134"/>
      <c r="P59" s="134"/>
      <c r="Q59" s="135"/>
      <c r="R59" s="136"/>
      <c r="S59" s="14"/>
    </row>
    <row r="60" spans="1:19" ht="39" customHeight="1" thickBot="1" x14ac:dyDescent="0.3">
      <c r="A60" s="13"/>
      <c r="B60" s="84" t="s">
        <v>233</v>
      </c>
      <c r="C60" s="85"/>
      <c r="D60" s="85"/>
      <c r="E60" s="85"/>
      <c r="F60" s="85"/>
      <c r="G60" s="86">
        <f>1.19*12*F43</f>
        <v>69919.164000000004</v>
      </c>
      <c r="H60" s="87"/>
      <c r="I60" s="92" t="s">
        <v>467</v>
      </c>
      <c r="J60" s="41"/>
      <c r="K60" s="13"/>
      <c r="L60" s="84" t="s">
        <v>233</v>
      </c>
      <c r="M60" s="85"/>
      <c r="N60" s="85"/>
      <c r="O60" s="85"/>
      <c r="P60" s="85"/>
      <c r="Q60" s="86">
        <f>0.98*12*P43</f>
        <v>171503.136</v>
      </c>
      <c r="R60" s="87"/>
      <c r="S60" s="299" t="s">
        <v>468</v>
      </c>
    </row>
    <row r="61" spans="1:19" ht="35.25" customHeight="1" x14ac:dyDescent="0.25">
      <c r="A61" s="118"/>
      <c r="B61" s="121" t="s">
        <v>226</v>
      </c>
      <c r="C61" s="122"/>
      <c r="D61" s="122"/>
      <c r="E61" s="122"/>
      <c r="F61" s="122"/>
      <c r="G61" s="88"/>
      <c r="H61" s="89"/>
      <c r="I61" s="93"/>
      <c r="J61" s="41"/>
      <c r="K61" s="118"/>
      <c r="L61" s="121" t="s">
        <v>226</v>
      </c>
      <c r="M61" s="122"/>
      <c r="N61" s="122"/>
      <c r="O61" s="122"/>
      <c r="P61" s="122"/>
      <c r="Q61" s="88"/>
      <c r="R61" s="89"/>
      <c r="S61" s="300"/>
    </row>
    <row r="62" spans="1:19" ht="36" customHeight="1" x14ac:dyDescent="0.25">
      <c r="A62" s="119"/>
      <c r="B62" s="121" t="s">
        <v>227</v>
      </c>
      <c r="C62" s="122"/>
      <c r="D62" s="122"/>
      <c r="E62" s="122"/>
      <c r="F62" s="122"/>
      <c r="G62" s="88"/>
      <c r="H62" s="89"/>
      <c r="I62" s="93"/>
      <c r="J62" s="42"/>
      <c r="K62" s="119"/>
      <c r="L62" s="121" t="s">
        <v>227</v>
      </c>
      <c r="M62" s="122"/>
      <c r="N62" s="122"/>
      <c r="O62" s="122"/>
      <c r="P62" s="122"/>
      <c r="Q62" s="88"/>
      <c r="R62" s="89"/>
      <c r="S62" s="300"/>
    </row>
    <row r="63" spans="1:19" ht="36.75" customHeight="1" x14ac:dyDescent="0.25">
      <c r="A63" s="119"/>
      <c r="B63" s="121" t="s">
        <v>228</v>
      </c>
      <c r="C63" s="122"/>
      <c r="D63" s="122"/>
      <c r="E63" s="122"/>
      <c r="F63" s="122"/>
      <c r="G63" s="88"/>
      <c r="H63" s="89"/>
      <c r="I63" s="93"/>
      <c r="J63" s="43"/>
      <c r="K63" s="119"/>
      <c r="L63" s="121" t="s">
        <v>228</v>
      </c>
      <c r="M63" s="122"/>
      <c r="N63" s="122"/>
      <c r="O63" s="122"/>
      <c r="P63" s="122"/>
      <c r="Q63" s="88"/>
      <c r="R63" s="89"/>
      <c r="S63" s="300"/>
    </row>
    <row r="64" spans="1:19" ht="42" customHeight="1" thickBot="1" x14ac:dyDescent="0.3">
      <c r="A64" s="120"/>
      <c r="B64" s="123" t="s">
        <v>234</v>
      </c>
      <c r="C64" s="124"/>
      <c r="D64" s="124"/>
      <c r="E64" s="124"/>
      <c r="F64" s="124"/>
      <c r="G64" s="90"/>
      <c r="H64" s="91"/>
      <c r="I64" s="94"/>
      <c r="J64" s="59"/>
      <c r="K64" s="120"/>
      <c r="L64" s="123" t="s">
        <v>234</v>
      </c>
      <c r="M64" s="124"/>
      <c r="N64" s="124"/>
      <c r="O64" s="124"/>
      <c r="P64" s="124"/>
      <c r="Q64" s="90"/>
      <c r="R64" s="91"/>
      <c r="S64" s="301"/>
    </row>
    <row r="65" spans="1:19" ht="14.25" hidden="1" customHeight="1" x14ac:dyDescent="0.25">
      <c r="A65" s="15"/>
      <c r="B65" s="137"/>
      <c r="C65" s="138"/>
      <c r="D65" s="138"/>
      <c r="E65" s="138"/>
      <c r="F65" s="138"/>
      <c r="G65" s="139"/>
      <c r="H65" s="140"/>
      <c r="I65" s="16"/>
      <c r="J65" s="58"/>
      <c r="K65" s="15"/>
      <c r="L65" s="137"/>
      <c r="M65" s="138"/>
      <c r="N65" s="138"/>
      <c r="O65" s="138"/>
      <c r="P65" s="138"/>
      <c r="Q65" s="139"/>
      <c r="R65" s="140"/>
      <c r="S65" s="16"/>
    </row>
    <row r="66" spans="1:19" ht="28.5" hidden="1" customHeight="1" x14ac:dyDescent="0.25">
      <c r="A66" s="15"/>
      <c r="B66" s="137" t="s">
        <v>235</v>
      </c>
      <c r="C66" s="138"/>
      <c r="D66" s="138"/>
      <c r="E66" s="138"/>
      <c r="F66" s="138"/>
      <c r="G66" s="139"/>
      <c r="H66" s="140"/>
      <c r="I66" s="16"/>
      <c r="J66" s="45"/>
      <c r="K66" s="15"/>
      <c r="L66" s="137" t="s">
        <v>235</v>
      </c>
      <c r="M66" s="138"/>
      <c r="N66" s="138"/>
      <c r="O66" s="138"/>
      <c r="P66" s="138"/>
      <c r="Q66" s="139"/>
      <c r="R66" s="140"/>
      <c r="S66" s="16"/>
    </row>
    <row r="67" spans="1:19" ht="32.25" customHeight="1" thickBot="1" x14ac:dyDescent="0.3">
      <c r="A67" s="17"/>
      <c r="B67" s="78" t="s">
        <v>237</v>
      </c>
      <c r="C67" s="79"/>
      <c r="D67" s="79"/>
      <c r="E67" s="79"/>
      <c r="F67" s="79"/>
      <c r="G67" s="86">
        <f>9128+17016</f>
        <v>26144</v>
      </c>
      <c r="H67" s="87"/>
      <c r="I67" s="108" t="s">
        <v>229</v>
      </c>
      <c r="J67" s="41"/>
      <c r="K67" s="17"/>
      <c r="L67" s="78" t="s">
        <v>237</v>
      </c>
      <c r="M67" s="79"/>
      <c r="N67" s="79"/>
      <c r="O67" s="79"/>
      <c r="P67" s="79"/>
      <c r="Q67" s="86">
        <f>67521+38916</f>
        <v>106437</v>
      </c>
      <c r="R67" s="87"/>
      <c r="S67" s="108" t="s">
        <v>229</v>
      </c>
    </row>
    <row r="68" spans="1:19" ht="15.75" customHeight="1" thickBot="1" x14ac:dyDescent="0.3">
      <c r="A68" s="18"/>
      <c r="B68" s="110" t="s">
        <v>238</v>
      </c>
      <c r="C68" s="111"/>
      <c r="D68" s="111"/>
      <c r="E68" s="111"/>
      <c r="F68" s="111"/>
      <c r="G68" s="90"/>
      <c r="H68" s="91"/>
      <c r="I68" s="109"/>
      <c r="J68" s="41"/>
      <c r="K68" s="18"/>
      <c r="L68" s="110" t="s">
        <v>238</v>
      </c>
      <c r="M68" s="111"/>
      <c r="N68" s="111"/>
      <c r="O68" s="111"/>
      <c r="P68" s="111"/>
      <c r="Q68" s="90"/>
      <c r="R68" s="91"/>
      <c r="S68" s="109"/>
    </row>
    <row r="69" spans="1:19" ht="15.75" customHeight="1" thickBot="1" x14ac:dyDescent="0.3">
      <c r="A69" s="19"/>
      <c r="B69" s="112" t="s">
        <v>239</v>
      </c>
      <c r="C69" s="113"/>
      <c r="D69" s="113"/>
      <c r="E69" s="113"/>
      <c r="F69" s="113"/>
      <c r="G69" s="114">
        <f>SUM(G48:H68)</f>
        <v>379051.03519999998</v>
      </c>
      <c r="H69" s="115"/>
      <c r="I69" s="20"/>
      <c r="J69" s="60"/>
      <c r="K69" s="19"/>
      <c r="L69" s="112" t="s">
        <v>239</v>
      </c>
      <c r="M69" s="113"/>
      <c r="N69" s="113"/>
      <c r="O69" s="113"/>
      <c r="P69" s="113"/>
      <c r="Q69" s="114">
        <f>SUM(Q48:R68)</f>
        <v>1174207.2383999999</v>
      </c>
      <c r="R69" s="115"/>
      <c r="S69" s="20"/>
    </row>
    <row r="70" spans="1:19" ht="15.75" customHeight="1" thickBot="1" x14ac:dyDescent="0.3">
      <c r="A70" s="21"/>
      <c r="B70" s="101" t="s">
        <v>240</v>
      </c>
      <c r="C70" s="102"/>
      <c r="D70" s="102"/>
      <c r="E70" s="102"/>
      <c r="F70" s="102"/>
      <c r="G70" s="116">
        <f>G69*1.2</f>
        <v>454861.24223999999</v>
      </c>
      <c r="H70" s="117"/>
      <c r="I70" s="22"/>
      <c r="J70" s="60"/>
      <c r="K70" s="21"/>
      <c r="L70" s="101" t="s">
        <v>240</v>
      </c>
      <c r="M70" s="102"/>
      <c r="N70" s="102"/>
      <c r="O70" s="102"/>
      <c r="P70" s="102"/>
      <c r="Q70" s="116">
        <f>Q69*1.2</f>
        <v>1409048.6860799999</v>
      </c>
      <c r="R70" s="117"/>
      <c r="S70" s="22"/>
    </row>
    <row r="71" spans="1:19" ht="15.75" customHeight="1" thickBot="1" x14ac:dyDescent="0.3">
      <c r="A71" s="24"/>
      <c r="B71" s="96" t="s">
        <v>443</v>
      </c>
      <c r="C71" s="97"/>
      <c r="D71" s="97"/>
      <c r="E71" s="97"/>
      <c r="F71" s="97"/>
      <c r="G71" s="295">
        <v>457816.52</v>
      </c>
      <c r="H71" s="296"/>
      <c r="I71" s="297"/>
      <c r="J71" s="60"/>
      <c r="K71" s="24"/>
      <c r="L71" s="96" t="s">
        <v>443</v>
      </c>
      <c r="M71" s="97"/>
      <c r="N71" s="97"/>
      <c r="O71" s="97"/>
      <c r="P71" s="97"/>
      <c r="Q71" s="295">
        <v>1400848.28</v>
      </c>
      <c r="R71" s="296"/>
      <c r="S71" s="297"/>
    </row>
    <row r="72" spans="1:19" ht="15.75" thickBot="1" x14ac:dyDescent="0.3">
      <c r="A72" s="19"/>
      <c r="B72" s="101" t="s">
        <v>242</v>
      </c>
      <c r="C72" s="102"/>
      <c r="D72" s="102"/>
      <c r="E72" s="102"/>
      <c r="F72" s="102"/>
      <c r="G72" s="116">
        <v>459469.83</v>
      </c>
      <c r="H72" s="298"/>
      <c r="I72" s="214"/>
      <c r="K72" s="19"/>
      <c r="L72" s="101" t="s">
        <v>242</v>
      </c>
      <c r="M72" s="102"/>
      <c r="N72" s="102"/>
      <c r="O72" s="102"/>
      <c r="P72" s="102"/>
      <c r="Q72" s="116">
        <v>1397380.41</v>
      </c>
      <c r="R72" s="298"/>
      <c r="S72" s="214"/>
    </row>
    <row r="73" spans="1:19" ht="15.75" customHeight="1" thickBot="1" x14ac:dyDescent="0.3">
      <c r="A73" s="19"/>
      <c r="B73" s="106" t="s">
        <v>445</v>
      </c>
      <c r="C73" s="107"/>
      <c r="D73" s="107"/>
      <c r="E73" s="107"/>
      <c r="F73" s="107"/>
      <c r="G73" s="116">
        <v>63798.879999999997</v>
      </c>
      <c r="H73" s="298"/>
      <c r="I73" s="214"/>
      <c r="J73" s="61"/>
      <c r="K73" s="19"/>
      <c r="L73" s="106" t="s">
        <v>444</v>
      </c>
      <c r="M73" s="107"/>
      <c r="N73" s="107"/>
      <c r="O73" s="107"/>
      <c r="P73" s="107"/>
      <c r="Q73" s="116">
        <v>247118.32</v>
      </c>
      <c r="R73" s="298"/>
      <c r="S73" s="214"/>
    </row>
    <row r="74" spans="1:19" ht="41.25" customHeight="1" x14ac:dyDescent="0.25">
      <c r="A74" s="4"/>
      <c r="B74" s="195"/>
      <c r="C74" s="195"/>
      <c r="D74" s="195"/>
      <c r="E74" s="195"/>
      <c r="F74" s="195"/>
      <c r="G74" s="195"/>
      <c r="H74" s="195"/>
      <c r="I74" s="195"/>
      <c r="K74" s="4"/>
      <c r="L74" s="26"/>
      <c r="M74" s="26"/>
      <c r="N74" s="26"/>
      <c r="O74" s="26"/>
      <c r="P74" s="26"/>
      <c r="Q74" s="27"/>
      <c r="R74" s="3"/>
      <c r="S74" s="3"/>
    </row>
    <row r="75" spans="1:19" x14ac:dyDescent="0.25">
      <c r="E75" s="50"/>
      <c r="I75" s="5"/>
      <c r="O75" s="50"/>
      <c r="S75" s="5"/>
    </row>
    <row r="76" spans="1:19" x14ac:dyDescent="0.25">
      <c r="A76" s="3"/>
      <c r="I76" s="5"/>
      <c r="K76" s="3"/>
      <c r="S76" s="5"/>
    </row>
    <row r="77" spans="1:19" ht="15.75" x14ac:dyDescent="0.25">
      <c r="C77" s="30"/>
      <c r="K77" s="30"/>
      <c r="N77" s="30"/>
    </row>
    <row r="78" spans="1:19" ht="15.75" x14ac:dyDescent="0.25">
      <c r="A78" s="30"/>
      <c r="C78" s="30"/>
      <c r="K78" s="30"/>
      <c r="N78" s="30"/>
    </row>
    <row r="79" spans="1:19" ht="15.75" x14ac:dyDescent="0.25">
      <c r="A79" s="30"/>
      <c r="C79" s="30"/>
      <c r="K79" s="30"/>
      <c r="N79" s="30"/>
    </row>
    <row r="80" spans="1:19" x14ac:dyDescent="0.25">
      <c r="A80" s="3"/>
      <c r="B80" s="3"/>
      <c r="C80" s="3"/>
      <c r="D80" s="3"/>
      <c r="E80" s="4" t="s">
        <v>204</v>
      </c>
      <c r="F80" s="3"/>
      <c r="G80" s="3"/>
      <c r="H80" s="3"/>
      <c r="I80" s="3"/>
      <c r="K80" s="3"/>
      <c r="L80" s="3"/>
      <c r="M80" s="3"/>
      <c r="N80" s="3"/>
      <c r="O80" s="4" t="s">
        <v>204</v>
      </c>
      <c r="P80" s="3"/>
      <c r="Q80" s="3"/>
      <c r="R80" s="3"/>
      <c r="S80" s="3"/>
    </row>
    <row r="81" spans="1:19" x14ac:dyDescent="0.25">
      <c r="A81" s="3" t="s">
        <v>205</v>
      </c>
      <c r="B81" s="3"/>
      <c r="C81" s="3"/>
      <c r="D81" s="3" t="s">
        <v>253</v>
      </c>
      <c r="E81" s="3"/>
      <c r="F81" s="3"/>
      <c r="G81" s="3"/>
      <c r="H81" s="3"/>
      <c r="I81" s="3"/>
      <c r="K81" s="3" t="s">
        <v>205</v>
      </c>
      <c r="L81" s="3"/>
      <c r="M81" s="3"/>
      <c r="N81" s="3" t="s">
        <v>254</v>
      </c>
      <c r="O81" s="3"/>
      <c r="P81" s="3"/>
      <c r="Q81" s="3"/>
      <c r="R81" s="3"/>
      <c r="S81" s="3"/>
    </row>
    <row r="82" spans="1:19" x14ac:dyDescent="0.25">
      <c r="A82" s="3"/>
      <c r="B82" s="5" t="s">
        <v>440</v>
      </c>
      <c r="C82" s="3"/>
      <c r="D82" s="3"/>
      <c r="E82" s="3"/>
      <c r="F82" s="3"/>
      <c r="G82" s="3"/>
      <c r="H82" s="3"/>
      <c r="I82" s="3"/>
      <c r="J82" s="3"/>
      <c r="K82" s="3"/>
      <c r="L82" s="5" t="s">
        <v>440</v>
      </c>
      <c r="M82" s="3"/>
      <c r="N82" s="3"/>
      <c r="O82" s="3"/>
      <c r="P82" s="3"/>
      <c r="Q82" s="3"/>
      <c r="R82" s="3"/>
      <c r="S82" s="3"/>
    </row>
    <row r="83" spans="1:19" ht="15.75" thickBot="1" x14ac:dyDescent="0.3">
      <c r="A83" s="3"/>
      <c r="B83" s="5" t="s">
        <v>206</v>
      </c>
      <c r="C83" s="3"/>
      <c r="D83" s="3"/>
      <c r="E83" s="3"/>
      <c r="F83" s="3">
        <f>'[1]Ж-2,3'!$H$9</f>
        <v>3891.3</v>
      </c>
      <c r="G83" s="3" t="s">
        <v>207</v>
      </c>
      <c r="H83" s="3"/>
      <c r="I83" s="3"/>
      <c r="J83" s="3"/>
      <c r="K83" s="3"/>
      <c r="L83" s="5" t="s">
        <v>206</v>
      </c>
      <c r="M83" s="3"/>
      <c r="N83" s="3"/>
      <c r="O83" s="3"/>
      <c r="P83" s="3">
        <f>'[1]Ж-2,3'!$J$9</f>
        <v>10751.1</v>
      </c>
      <c r="Q83" s="3" t="s">
        <v>207</v>
      </c>
      <c r="R83" s="3"/>
      <c r="S83" s="3"/>
    </row>
    <row r="84" spans="1:19" ht="15" customHeight="1" x14ac:dyDescent="0.25">
      <c r="A84" s="175" t="s">
        <v>209</v>
      </c>
      <c r="B84" s="177" t="s">
        <v>210</v>
      </c>
      <c r="C84" s="178"/>
      <c r="D84" s="178"/>
      <c r="E84" s="178"/>
      <c r="F84" s="178"/>
      <c r="G84" s="180" t="s">
        <v>441</v>
      </c>
      <c r="H84" s="181"/>
      <c r="I84" s="175" t="s">
        <v>212</v>
      </c>
      <c r="J84" s="31"/>
      <c r="K84" s="175" t="s">
        <v>209</v>
      </c>
      <c r="L84" s="177" t="s">
        <v>210</v>
      </c>
      <c r="M84" s="178"/>
      <c r="N84" s="178"/>
      <c r="O84" s="178"/>
      <c r="P84" s="178"/>
      <c r="Q84" s="180" t="s">
        <v>441</v>
      </c>
      <c r="R84" s="181"/>
      <c r="S84" s="175" t="s">
        <v>212</v>
      </c>
    </row>
    <row r="85" spans="1:19" ht="75" customHeight="1" thickBot="1" x14ac:dyDescent="0.3">
      <c r="A85" s="176"/>
      <c r="B85" s="179"/>
      <c r="C85" s="179"/>
      <c r="D85" s="179"/>
      <c r="E85" s="179"/>
      <c r="F85" s="179"/>
      <c r="G85" s="182"/>
      <c r="H85" s="183"/>
      <c r="I85" s="184"/>
      <c r="J85" s="32"/>
      <c r="K85" s="176"/>
      <c r="L85" s="179"/>
      <c r="M85" s="179"/>
      <c r="N85" s="179"/>
      <c r="O85" s="179"/>
      <c r="P85" s="179"/>
      <c r="Q85" s="182"/>
      <c r="R85" s="183"/>
      <c r="S85" s="184"/>
    </row>
    <row r="86" spans="1:19" ht="15" customHeight="1" x14ac:dyDescent="0.25">
      <c r="A86" s="185" t="s">
        <v>213</v>
      </c>
      <c r="B86" s="187" t="s">
        <v>354</v>
      </c>
      <c r="C86" s="188"/>
      <c r="D86" s="188"/>
      <c r="E86" s="188"/>
      <c r="F86" s="188"/>
      <c r="G86" s="190">
        <v>65923.3</v>
      </c>
      <c r="H86" s="191"/>
      <c r="I86" s="192"/>
      <c r="J86" s="33"/>
      <c r="K86" s="185" t="s">
        <v>213</v>
      </c>
      <c r="L86" s="187" t="s">
        <v>354</v>
      </c>
      <c r="M86" s="188"/>
      <c r="N86" s="188"/>
      <c r="O86" s="188"/>
      <c r="P86" s="188"/>
      <c r="Q86" s="190">
        <v>129477.68</v>
      </c>
      <c r="R86" s="191"/>
      <c r="S86" s="192"/>
    </row>
    <row r="87" spans="1:19" ht="5.25" customHeight="1" thickBot="1" x14ac:dyDescent="0.3">
      <c r="A87" s="186"/>
      <c r="B87" s="189"/>
      <c r="C87" s="189"/>
      <c r="D87" s="189"/>
      <c r="E87" s="189"/>
      <c r="F87" s="189"/>
      <c r="G87" s="193"/>
      <c r="H87" s="194"/>
      <c r="I87" s="128"/>
      <c r="J87" s="34"/>
      <c r="K87" s="186"/>
      <c r="L87" s="189"/>
      <c r="M87" s="189"/>
      <c r="N87" s="189"/>
      <c r="O87" s="189"/>
      <c r="P87" s="189"/>
      <c r="Q87" s="193"/>
      <c r="R87" s="194"/>
      <c r="S87" s="128"/>
    </row>
    <row r="88" spans="1:19" ht="15" customHeight="1" x14ac:dyDescent="0.25">
      <c r="A88" s="6"/>
      <c r="B88" s="161" t="s">
        <v>214</v>
      </c>
      <c r="C88" s="162"/>
      <c r="D88" s="162"/>
      <c r="E88" s="162"/>
      <c r="F88" s="162"/>
      <c r="G88" s="163">
        <f>1.69*12*F83</f>
        <v>78915.564000000013</v>
      </c>
      <c r="H88" s="164"/>
      <c r="I88" s="169" t="s">
        <v>215</v>
      </c>
      <c r="J88" s="35"/>
      <c r="K88" s="6"/>
      <c r="L88" s="161" t="s">
        <v>214</v>
      </c>
      <c r="M88" s="162"/>
      <c r="N88" s="162"/>
      <c r="O88" s="162"/>
      <c r="P88" s="162"/>
      <c r="Q88" s="163">
        <f>2.19*12*P83</f>
        <v>282538.908</v>
      </c>
      <c r="R88" s="164"/>
      <c r="S88" s="169" t="s">
        <v>215</v>
      </c>
    </row>
    <row r="89" spans="1:19" ht="13.5" customHeight="1" thickBot="1" x14ac:dyDescent="0.3">
      <c r="A89" s="7"/>
      <c r="B89" s="171" t="s">
        <v>216</v>
      </c>
      <c r="C89" s="172"/>
      <c r="D89" s="172"/>
      <c r="E89" s="172"/>
      <c r="F89" s="172"/>
      <c r="G89" s="165"/>
      <c r="H89" s="166"/>
      <c r="I89" s="170"/>
      <c r="J89" s="36"/>
      <c r="K89" s="7"/>
      <c r="L89" s="171" t="s">
        <v>216</v>
      </c>
      <c r="M89" s="172"/>
      <c r="N89" s="172"/>
      <c r="O89" s="172"/>
      <c r="P89" s="172"/>
      <c r="Q89" s="165"/>
      <c r="R89" s="166"/>
      <c r="S89" s="170"/>
    </row>
    <row r="90" spans="1:19" ht="13.5" customHeight="1" thickBot="1" x14ac:dyDescent="0.3">
      <c r="A90" s="7"/>
      <c r="B90" s="173" t="s">
        <v>217</v>
      </c>
      <c r="C90" s="174"/>
      <c r="D90" s="174"/>
      <c r="E90" s="174"/>
      <c r="F90" s="174"/>
      <c r="G90" s="167"/>
      <c r="H90" s="168"/>
      <c r="I90" s="8" t="s">
        <v>218</v>
      </c>
      <c r="J90" s="36"/>
      <c r="K90" s="7"/>
      <c r="L90" s="173" t="s">
        <v>217</v>
      </c>
      <c r="M90" s="174"/>
      <c r="N90" s="174"/>
      <c r="O90" s="174"/>
      <c r="P90" s="174"/>
      <c r="Q90" s="167"/>
      <c r="R90" s="168"/>
      <c r="S90" s="8" t="s">
        <v>218</v>
      </c>
    </row>
    <row r="91" spans="1:19" ht="21.75" customHeight="1" thickBot="1" x14ac:dyDescent="0.3">
      <c r="A91" s="7"/>
      <c r="B91" s="141" t="s">
        <v>219</v>
      </c>
      <c r="C91" s="142"/>
      <c r="D91" s="142"/>
      <c r="E91" s="142"/>
      <c r="F91" s="142"/>
      <c r="G91" s="143">
        <f>1748.85*12*2</f>
        <v>41972.399999999994</v>
      </c>
      <c r="H91" s="144"/>
      <c r="I91" s="8" t="s">
        <v>220</v>
      </c>
      <c r="J91" s="37"/>
      <c r="K91" s="7"/>
      <c r="L91" s="141" t="s">
        <v>219</v>
      </c>
      <c r="M91" s="142"/>
      <c r="N91" s="142"/>
      <c r="O91" s="142"/>
      <c r="P91" s="142"/>
      <c r="Q91" s="143">
        <f>1748.85*12*5</f>
        <v>104930.99999999999</v>
      </c>
      <c r="R91" s="144"/>
      <c r="S91" s="8" t="s">
        <v>220</v>
      </c>
    </row>
    <row r="92" spans="1:19" ht="21.75" customHeight="1" thickBot="1" x14ac:dyDescent="0.3">
      <c r="A92" s="7"/>
      <c r="B92" s="141" t="s">
        <v>221</v>
      </c>
      <c r="C92" s="142"/>
      <c r="D92" s="142"/>
      <c r="E92" s="142"/>
      <c r="F92" s="142"/>
      <c r="G92" s="143">
        <f>0.474*F83*12</f>
        <v>22133.714400000001</v>
      </c>
      <c r="H92" s="144"/>
      <c r="I92" s="8" t="s">
        <v>222</v>
      </c>
      <c r="J92" s="38"/>
      <c r="K92" s="7"/>
      <c r="L92" s="141" t="s">
        <v>221</v>
      </c>
      <c r="M92" s="142"/>
      <c r="N92" s="142"/>
      <c r="O92" s="142"/>
      <c r="P92" s="142"/>
      <c r="Q92" s="143">
        <f>0.474*P83*12</f>
        <v>61152.256799999996</v>
      </c>
      <c r="R92" s="144"/>
      <c r="S92" s="8" t="s">
        <v>222</v>
      </c>
    </row>
    <row r="93" spans="1:19" ht="13.5" customHeight="1" x14ac:dyDescent="0.25">
      <c r="A93" s="9"/>
      <c r="B93" s="145" t="s">
        <v>223</v>
      </c>
      <c r="C93" s="146"/>
      <c r="D93" s="146"/>
      <c r="E93" s="146"/>
      <c r="F93" s="146"/>
      <c r="G93" s="86">
        <f>1.94*12*F83</f>
        <v>90589.464000000007</v>
      </c>
      <c r="H93" s="147"/>
      <c r="I93" s="152" t="s">
        <v>224</v>
      </c>
      <c r="J93" s="38"/>
      <c r="K93" s="9"/>
      <c r="L93" s="145" t="s">
        <v>223</v>
      </c>
      <c r="M93" s="146"/>
      <c r="N93" s="146"/>
      <c r="O93" s="146"/>
      <c r="P93" s="146"/>
      <c r="Q93" s="86">
        <f>1.79*12*P83</f>
        <v>230933.62800000003</v>
      </c>
      <c r="R93" s="147"/>
      <c r="S93" s="152" t="s">
        <v>224</v>
      </c>
    </row>
    <row r="94" spans="1:19" ht="13.5" customHeight="1" x14ac:dyDescent="0.25">
      <c r="A94" s="10"/>
      <c r="B94" s="155" t="s">
        <v>226</v>
      </c>
      <c r="C94" s="156"/>
      <c r="D94" s="156"/>
      <c r="E94" s="156"/>
      <c r="F94" s="156"/>
      <c r="G94" s="148"/>
      <c r="H94" s="149"/>
      <c r="I94" s="153"/>
      <c r="J94" s="39"/>
      <c r="K94" s="10"/>
      <c r="L94" s="155" t="s">
        <v>226</v>
      </c>
      <c r="M94" s="156"/>
      <c r="N94" s="156"/>
      <c r="O94" s="156"/>
      <c r="P94" s="156"/>
      <c r="Q94" s="148"/>
      <c r="R94" s="149"/>
      <c r="S94" s="153"/>
    </row>
    <row r="95" spans="1:19" ht="13.5" customHeight="1" thickBot="1" x14ac:dyDescent="0.3">
      <c r="A95" s="10"/>
      <c r="B95" s="157" t="s">
        <v>227</v>
      </c>
      <c r="C95" s="158"/>
      <c r="D95" s="158"/>
      <c r="E95" s="158"/>
      <c r="F95" s="158"/>
      <c r="G95" s="148"/>
      <c r="H95" s="149"/>
      <c r="I95" s="154"/>
      <c r="J95" s="36"/>
      <c r="K95" s="10"/>
      <c r="L95" s="157" t="s">
        <v>227</v>
      </c>
      <c r="M95" s="158"/>
      <c r="N95" s="158"/>
      <c r="O95" s="158"/>
      <c r="P95" s="158"/>
      <c r="Q95" s="148"/>
      <c r="R95" s="149"/>
      <c r="S95" s="154"/>
    </row>
    <row r="96" spans="1:19" ht="13.5" customHeight="1" thickBot="1" x14ac:dyDescent="0.3">
      <c r="A96" s="10"/>
      <c r="B96" s="159" t="s">
        <v>228</v>
      </c>
      <c r="C96" s="160"/>
      <c r="D96" s="160"/>
      <c r="E96" s="160"/>
      <c r="F96" s="160"/>
      <c r="G96" s="150"/>
      <c r="H96" s="151"/>
      <c r="I96" s="11" t="s">
        <v>229</v>
      </c>
      <c r="J96" s="36"/>
      <c r="K96" s="10"/>
      <c r="L96" s="159" t="s">
        <v>228</v>
      </c>
      <c r="M96" s="160"/>
      <c r="N96" s="160"/>
      <c r="O96" s="160"/>
      <c r="P96" s="160"/>
      <c r="Q96" s="150"/>
      <c r="R96" s="151"/>
      <c r="S96" s="11" t="s">
        <v>229</v>
      </c>
    </row>
    <row r="97" spans="1:19" ht="13.5" customHeight="1" x14ac:dyDescent="0.25">
      <c r="A97" s="12"/>
      <c r="B97" s="125" t="s">
        <v>230</v>
      </c>
      <c r="C97" s="126"/>
      <c r="D97" s="126"/>
      <c r="E97" s="126"/>
      <c r="F97" s="126"/>
      <c r="G97" s="86">
        <f>0.048*12*F83</f>
        <v>2241.3888000000002</v>
      </c>
      <c r="H97" s="87"/>
      <c r="I97" s="129" t="s">
        <v>220</v>
      </c>
      <c r="J97" s="36"/>
      <c r="K97" s="12"/>
      <c r="L97" s="125" t="s">
        <v>230</v>
      </c>
      <c r="M97" s="126"/>
      <c r="N97" s="126"/>
      <c r="O97" s="126"/>
      <c r="P97" s="126"/>
      <c r="Q97" s="86">
        <f>0.048*12*P83</f>
        <v>6192.633600000001</v>
      </c>
      <c r="R97" s="87"/>
      <c r="S97" s="129" t="s">
        <v>220</v>
      </c>
    </row>
    <row r="98" spans="1:19" ht="13.5" customHeight="1" thickBot="1" x14ac:dyDescent="0.3">
      <c r="A98" s="7"/>
      <c r="B98" s="131" t="s">
        <v>231</v>
      </c>
      <c r="C98" s="132"/>
      <c r="D98" s="132"/>
      <c r="E98" s="132"/>
      <c r="F98" s="132"/>
      <c r="G98" s="127"/>
      <c r="H98" s="128"/>
      <c r="I98" s="130"/>
      <c r="J98" s="36"/>
      <c r="K98" s="7"/>
      <c r="L98" s="131" t="s">
        <v>231</v>
      </c>
      <c r="M98" s="132"/>
      <c r="N98" s="132"/>
      <c r="O98" s="132"/>
      <c r="P98" s="132"/>
      <c r="Q98" s="127"/>
      <c r="R98" s="128"/>
      <c r="S98" s="130"/>
    </row>
    <row r="99" spans="1:19" ht="13.5" customHeight="1" thickBot="1" x14ac:dyDescent="0.3">
      <c r="A99" s="13"/>
      <c r="B99" s="133" t="s">
        <v>232</v>
      </c>
      <c r="C99" s="134"/>
      <c r="D99" s="134"/>
      <c r="E99" s="134"/>
      <c r="F99" s="134"/>
      <c r="G99" s="135"/>
      <c r="H99" s="136"/>
      <c r="I99" s="14"/>
      <c r="J99" s="40"/>
      <c r="K99" s="13"/>
      <c r="L99" s="133" t="s">
        <v>232</v>
      </c>
      <c r="M99" s="134"/>
      <c r="N99" s="134"/>
      <c r="O99" s="134"/>
      <c r="P99" s="134"/>
      <c r="Q99" s="135"/>
      <c r="R99" s="136"/>
      <c r="S99" s="14"/>
    </row>
    <row r="100" spans="1:19" ht="37.5" customHeight="1" thickBot="1" x14ac:dyDescent="0.3">
      <c r="A100" s="13"/>
      <c r="B100" s="84" t="s">
        <v>233</v>
      </c>
      <c r="C100" s="85"/>
      <c r="D100" s="85"/>
      <c r="E100" s="85"/>
      <c r="F100" s="85"/>
      <c r="G100" s="86">
        <f>1.45*12*F83</f>
        <v>67708.62</v>
      </c>
      <c r="H100" s="87"/>
      <c r="I100" s="299" t="s">
        <v>474</v>
      </c>
      <c r="J100" s="41"/>
      <c r="K100" s="13"/>
      <c r="L100" s="84" t="s">
        <v>233</v>
      </c>
      <c r="M100" s="85"/>
      <c r="N100" s="85"/>
      <c r="O100" s="85"/>
      <c r="P100" s="85"/>
      <c r="Q100" s="86">
        <f>0.89*12*P83</f>
        <v>114821.74800000001</v>
      </c>
      <c r="R100" s="87"/>
      <c r="S100" s="299" t="s">
        <v>475</v>
      </c>
    </row>
    <row r="101" spans="1:19" ht="24" customHeight="1" x14ac:dyDescent="0.25">
      <c r="A101" s="118"/>
      <c r="B101" s="121" t="s">
        <v>226</v>
      </c>
      <c r="C101" s="122"/>
      <c r="D101" s="122"/>
      <c r="E101" s="122"/>
      <c r="F101" s="122"/>
      <c r="G101" s="88"/>
      <c r="H101" s="89"/>
      <c r="I101" s="300"/>
      <c r="J101" s="41"/>
      <c r="K101" s="118"/>
      <c r="L101" s="121" t="s">
        <v>226</v>
      </c>
      <c r="M101" s="122"/>
      <c r="N101" s="122"/>
      <c r="O101" s="122"/>
      <c r="P101" s="122"/>
      <c r="Q101" s="88"/>
      <c r="R101" s="89"/>
      <c r="S101" s="300"/>
    </row>
    <row r="102" spans="1:19" ht="25.5" customHeight="1" x14ac:dyDescent="0.25">
      <c r="A102" s="119"/>
      <c r="B102" s="121" t="s">
        <v>227</v>
      </c>
      <c r="C102" s="122"/>
      <c r="D102" s="122"/>
      <c r="E102" s="122"/>
      <c r="F102" s="122"/>
      <c r="G102" s="88"/>
      <c r="H102" s="89"/>
      <c r="I102" s="300"/>
      <c r="J102" s="41"/>
      <c r="K102" s="119"/>
      <c r="L102" s="121" t="s">
        <v>227</v>
      </c>
      <c r="M102" s="122"/>
      <c r="N102" s="122"/>
      <c r="O102" s="122"/>
      <c r="P102" s="122"/>
      <c r="Q102" s="88"/>
      <c r="R102" s="89"/>
      <c r="S102" s="300"/>
    </row>
    <row r="103" spans="1:19" ht="14.45" customHeight="1" x14ac:dyDescent="0.25">
      <c r="A103" s="119"/>
      <c r="B103" s="121" t="s">
        <v>228</v>
      </c>
      <c r="C103" s="122"/>
      <c r="D103" s="122"/>
      <c r="E103" s="122"/>
      <c r="F103" s="122"/>
      <c r="G103" s="88"/>
      <c r="H103" s="89"/>
      <c r="I103" s="300"/>
      <c r="J103" s="42"/>
      <c r="K103" s="119"/>
      <c r="L103" s="121" t="s">
        <v>228</v>
      </c>
      <c r="M103" s="122"/>
      <c r="N103" s="122"/>
      <c r="O103" s="122"/>
      <c r="P103" s="122"/>
      <c r="Q103" s="88"/>
      <c r="R103" s="89"/>
      <c r="S103" s="300"/>
    </row>
    <row r="104" spans="1:19" ht="30" customHeight="1" thickBot="1" x14ac:dyDescent="0.3">
      <c r="A104" s="120"/>
      <c r="B104" s="123" t="s">
        <v>234</v>
      </c>
      <c r="C104" s="124"/>
      <c r="D104" s="124"/>
      <c r="E104" s="124"/>
      <c r="F104" s="124"/>
      <c r="G104" s="90"/>
      <c r="H104" s="91"/>
      <c r="I104" s="301"/>
      <c r="J104" s="43"/>
      <c r="K104" s="120"/>
      <c r="L104" s="123" t="s">
        <v>234</v>
      </c>
      <c r="M104" s="124"/>
      <c r="N104" s="124"/>
      <c r="O104" s="124"/>
      <c r="P104" s="124"/>
      <c r="Q104" s="90"/>
      <c r="R104" s="91"/>
      <c r="S104" s="301"/>
    </row>
    <row r="105" spans="1:19" ht="8.25" hidden="1" customHeight="1" x14ac:dyDescent="0.25">
      <c r="A105" s="15"/>
      <c r="B105" s="137"/>
      <c r="C105" s="138"/>
      <c r="D105" s="138"/>
      <c r="E105" s="138"/>
      <c r="F105" s="138"/>
      <c r="G105" s="139"/>
      <c r="H105" s="140"/>
      <c r="I105" s="16"/>
      <c r="J105" s="44"/>
      <c r="K105" s="15"/>
      <c r="L105" s="137"/>
      <c r="M105" s="138"/>
      <c r="N105" s="138"/>
      <c r="O105" s="138"/>
      <c r="P105" s="138"/>
      <c r="Q105" s="139"/>
      <c r="R105" s="140"/>
      <c r="S105" s="16"/>
    </row>
    <row r="106" spans="1:19" ht="28.5" customHeight="1" thickBot="1" x14ac:dyDescent="0.3">
      <c r="A106" s="15"/>
      <c r="B106" s="137" t="s">
        <v>235</v>
      </c>
      <c r="C106" s="138"/>
      <c r="D106" s="138"/>
      <c r="E106" s="138"/>
      <c r="F106" s="138"/>
      <c r="G106" s="139"/>
      <c r="H106" s="140"/>
      <c r="I106" s="16"/>
      <c r="J106" s="40"/>
      <c r="K106" s="15"/>
      <c r="L106" s="137" t="s">
        <v>235</v>
      </c>
      <c r="M106" s="138"/>
      <c r="N106" s="138"/>
      <c r="O106" s="138"/>
      <c r="P106" s="138"/>
      <c r="Q106" s="139"/>
      <c r="R106" s="140"/>
      <c r="S106" s="16"/>
    </row>
    <row r="107" spans="1:19" ht="33" customHeight="1" thickBot="1" x14ac:dyDescent="0.3">
      <c r="A107" s="17"/>
      <c r="B107" s="78" t="s">
        <v>237</v>
      </c>
      <c r="C107" s="79"/>
      <c r="D107" s="79"/>
      <c r="E107" s="79"/>
      <c r="F107" s="79"/>
      <c r="G107" s="86">
        <f>4808+15092</f>
        <v>19900</v>
      </c>
      <c r="H107" s="87"/>
      <c r="I107" s="108" t="s">
        <v>229</v>
      </c>
      <c r="J107" s="27"/>
      <c r="K107" s="17"/>
      <c r="L107" s="78" t="s">
        <v>237</v>
      </c>
      <c r="M107" s="79"/>
      <c r="N107" s="79"/>
      <c r="O107" s="79"/>
      <c r="P107" s="79"/>
      <c r="Q107" s="86">
        <f>11276+27445</f>
        <v>38721</v>
      </c>
      <c r="R107" s="87"/>
      <c r="S107" s="108" t="s">
        <v>229</v>
      </c>
    </row>
    <row r="108" spans="1:19" ht="15" customHeight="1" thickBot="1" x14ac:dyDescent="0.3">
      <c r="A108" s="18"/>
      <c r="B108" s="110" t="s">
        <v>238</v>
      </c>
      <c r="C108" s="111"/>
      <c r="D108" s="111"/>
      <c r="E108" s="111"/>
      <c r="F108" s="111"/>
      <c r="G108" s="90"/>
      <c r="H108" s="91"/>
      <c r="I108" s="109"/>
      <c r="J108" s="45"/>
      <c r="K108" s="18"/>
      <c r="L108" s="110" t="s">
        <v>238</v>
      </c>
      <c r="M108" s="111"/>
      <c r="N108" s="111"/>
      <c r="O108" s="111"/>
      <c r="P108" s="111"/>
      <c r="Q108" s="90"/>
      <c r="R108" s="91"/>
      <c r="S108" s="109"/>
    </row>
    <row r="109" spans="1:19" ht="15" customHeight="1" thickBot="1" x14ac:dyDescent="0.3">
      <c r="A109" s="19"/>
      <c r="B109" s="112" t="s">
        <v>239</v>
      </c>
      <c r="C109" s="113"/>
      <c r="D109" s="113"/>
      <c r="E109" s="113"/>
      <c r="F109" s="113"/>
      <c r="G109" s="114">
        <f>SUM(G88:H108)</f>
        <v>323461.15119999996</v>
      </c>
      <c r="H109" s="115"/>
      <c r="I109" s="20"/>
      <c r="J109" s="46"/>
      <c r="K109" s="19"/>
      <c r="L109" s="112" t="s">
        <v>239</v>
      </c>
      <c r="M109" s="113"/>
      <c r="N109" s="113"/>
      <c r="O109" s="113"/>
      <c r="P109" s="113"/>
      <c r="Q109" s="114">
        <f>SUM(Q88:R108)</f>
        <v>839291.17440000002</v>
      </c>
      <c r="R109" s="115"/>
      <c r="S109" s="20"/>
    </row>
    <row r="110" spans="1:19" ht="15" customHeight="1" thickBot="1" x14ac:dyDescent="0.3">
      <c r="A110" s="21"/>
      <c r="B110" s="101" t="s">
        <v>240</v>
      </c>
      <c r="C110" s="102"/>
      <c r="D110" s="102"/>
      <c r="E110" s="102"/>
      <c r="F110" s="102"/>
      <c r="G110" s="116">
        <f>G109*1.2</f>
        <v>388153.38143999997</v>
      </c>
      <c r="H110" s="117"/>
      <c r="I110" s="22"/>
      <c r="J110" s="47"/>
      <c r="K110" s="21"/>
      <c r="L110" s="101" t="s">
        <v>240</v>
      </c>
      <c r="M110" s="102"/>
      <c r="N110" s="102"/>
      <c r="O110" s="102"/>
      <c r="P110" s="102"/>
      <c r="Q110" s="116">
        <f>Q109*1.2</f>
        <v>1007149.40928</v>
      </c>
      <c r="R110" s="117"/>
      <c r="S110" s="22"/>
    </row>
    <row r="111" spans="1:19" ht="15" customHeight="1" thickBot="1" x14ac:dyDescent="0.3">
      <c r="A111" s="24"/>
      <c r="B111" s="96" t="s">
        <v>443</v>
      </c>
      <c r="C111" s="97"/>
      <c r="D111" s="97"/>
      <c r="E111" s="97"/>
      <c r="F111" s="97"/>
      <c r="G111" s="295">
        <v>387289.94</v>
      </c>
      <c r="H111" s="296"/>
      <c r="I111" s="297"/>
      <c r="J111" s="47"/>
      <c r="K111" s="24"/>
      <c r="L111" s="96" t="s">
        <v>443</v>
      </c>
      <c r="M111" s="97"/>
      <c r="N111" s="97"/>
      <c r="O111" s="97"/>
      <c r="P111" s="97"/>
      <c r="Q111" s="295">
        <v>1014247.39</v>
      </c>
      <c r="R111" s="296"/>
      <c r="S111" s="297"/>
    </row>
    <row r="112" spans="1:19" ht="15" customHeight="1" thickBot="1" x14ac:dyDescent="0.3">
      <c r="A112" s="19"/>
      <c r="B112" s="101" t="s">
        <v>242</v>
      </c>
      <c r="C112" s="102"/>
      <c r="D112" s="102"/>
      <c r="E112" s="102"/>
      <c r="F112" s="102"/>
      <c r="G112" s="116">
        <v>390580.73</v>
      </c>
      <c r="H112" s="298"/>
      <c r="I112" s="214"/>
      <c r="J112" s="47"/>
      <c r="K112" s="19"/>
      <c r="L112" s="101" t="s">
        <v>242</v>
      </c>
      <c r="M112" s="102"/>
      <c r="N112" s="102"/>
      <c r="O112" s="102"/>
      <c r="P112" s="102"/>
      <c r="Q112" s="116">
        <v>1012686.24</v>
      </c>
      <c r="R112" s="298"/>
      <c r="S112" s="214"/>
    </row>
    <row r="113" spans="1:19" ht="15.75" thickBot="1" x14ac:dyDescent="0.3">
      <c r="A113" s="19"/>
      <c r="B113" s="106" t="s">
        <v>444</v>
      </c>
      <c r="C113" s="107"/>
      <c r="D113" s="107"/>
      <c r="E113" s="107"/>
      <c r="F113" s="107"/>
      <c r="G113" s="116">
        <v>62623.51</v>
      </c>
      <c r="H113" s="298"/>
      <c r="I113" s="214"/>
      <c r="J113" s="47"/>
      <c r="K113" s="19"/>
      <c r="L113" s="106" t="s">
        <v>444</v>
      </c>
      <c r="M113" s="107"/>
      <c r="N113" s="107"/>
      <c r="O113" s="107"/>
      <c r="P113" s="107"/>
      <c r="Q113" s="116">
        <v>131038.83</v>
      </c>
      <c r="R113" s="298"/>
      <c r="S113" s="214"/>
    </row>
    <row r="114" spans="1:19" x14ac:dyDescent="0.25">
      <c r="A114" s="4"/>
      <c r="B114" s="26"/>
      <c r="C114" s="26"/>
      <c r="D114" s="26"/>
      <c r="E114" s="26"/>
      <c r="F114" s="26"/>
      <c r="G114" s="27"/>
      <c r="H114" s="3"/>
      <c r="I114" s="3"/>
      <c r="K114" s="4"/>
      <c r="L114" s="26"/>
      <c r="M114" s="26"/>
      <c r="N114" s="26"/>
      <c r="O114" s="26"/>
      <c r="P114" s="26"/>
      <c r="Q114" s="27"/>
      <c r="R114" s="3"/>
      <c r="S114" s="3"/>
    </row>
    <row r="115" spans="1:19" x14ac:dyDescent="0.25">
      <c r="E115" s="50"/>
      <c r="I115" s="5"/>
      <c r="O115" s="50"/>
      <c r="S115" s="5"/>
    </row>
    <row r="116" spans="1:19" x14ac:dyDescent="0.25">
      <c r="A116" s="3"/>
      <c r="I116" s="5"/>
      <c r="K116" s="3"/>
      <c r="S116" s="5"/>
    </row>
    <row r="117" spans="1:19" ht="15.75" x14ac:dyDescent="0.25">
      <c r="B117" s="30"/>
      <c r="K117" s="30"/>
      <c r="L117" s="30"/>
    </row>
    <row r="118" spans="1:19" ht="15.75" x14ac:dyDescent="0.25">
      <c r="B118" s="30"/>
      <c r="K118" s="30"/>
      <c r="L118" s="30"/>
    </row>
    <row r="119" spans="1:19" x14ac:dyDescent="0.25">
      <c r="A119" s="3"/>
      <c r="B119" s="3"/>
      <c r="C119" s="3"/>
      <c r="D119" s="3"/>
      <c r="E119" s="4" t="s">
        <v>204</v>
      </c>
      <c r="F119" s="3"/>
      <c r="G119" s="3"/>
      <c r="H119" s="3"/>
      <c r="I119" s="3"/>
      <c r="K119" s="3"/>
      <c r="L119" s="3"/>
      <c r="M119" s="3"/>
      <c r="N119" s="3"/>
      <c r="O119" s="4" t="s">
        <v>204</v>
      </c>
      <c r="P119" s="3"/>
      <c r="Q119" s="3"/>
      <c r="R119" s="3"/>
      <c r="S119" s="3"/>
    </row>
    <row r="120" spans="1:19" x14ac:dyDescent="0.25">
      <c r="A120" s="3" t="s">
        <v>205</v>
      </c>
      <c r="B120" s="3"/>
      <c r="C120" s="3"/>
      <c r="D120" s="3" t="s">
        <v>255</v>
      </c>
      <c r="E120" s="3"/>
      <c r="F120" s="3"/>
      <c r="G120" s="3"/>
      <c r="H120" s="3"/>
      <c r="I120" s="3"/>
      <c r="K120" s="3" t="s">
        <v>205</v>
      </c>
      <c r="L120" s="3"/>
      <c r="M120" s="3"/>
      <c r="N120" s="3" t="s">
        <v>256</v>
      </c>
      <c r="O120" s="3"/>
      <c r="P120" s="3"/>
      <c r="Q120" s="3"/>
      <c r="R120" s="3"/>
      <c r="S120" s="3"/>
    </row>
    <row r="121" spans="1:19" x14ac:dyDescent="0.25">
      <c r="A121" s="3"/>
      <c r="B121" s="5" t="s">
        <v>440</v>
      </c>
      <c r="C121" s="3"/>
      <c r="D121" s="3"/>
      <c r="E121" s="3"/>
      <c r="F121" s="3"/>
      <c r="G121" s="3"/>
      <c r="H121" s="3"/>
      <c r="I121" s="3"/>
      <c r="K121" s="3"/>
      <c r="L121" s="5" t="s">
        <v>440</v>
      </c>
      <c r="M121" s="3"/>
      <c r="N121" s="3"/>
      <c r="O121" s="3"/>
      <c r="P121" s="3"/>
      <c r="Q121" s="3"/>
      <c r="R121" s="3"/>
      <c r="S121" s="3"/>
    </row>
    <row r="122" spans="1:19" ht="15.75" thickBot="1" x14ac:dyDescent="0.3">
      <c r="A122" s="3"/>
      <c r="B122" s="5" t="s">
        <v>206</v>
      </c>
      <c r="C122" s="3"/>
      <c r="D122" s="3"/>
      <c r="E122" s="3"/>
      <c r="F122" s="3">
        <f>'[1]Ж-2,3'!$K$9</f>
        <v>3191.6</v>
      </c>
      <c r="G122" s="3" t="s">
        <v>207</v>
      </c>
      <c r="H122" s="3"/>
      <c r="I122" s="3"/>
      <c r="J122" s="3"/>
      <c r="K122" s="3"/>
      <c r="L122" s="5" t="s">
        <v>206</v>
      </c>
      <c r="M122" s="3"/>
      <c r="N122" s="3"/>
      <c r="O122" s="3"/>
      <c r="P122" s="3">
        <f>'[1]Ж-2,3'!$L$9</f>
        <v>4583.8</v>
      </c>
      <c r="Q122" s="3" t="s">
        <v>207</v>
      </c>
      <c r="R122" s="3"/>
      <c r="S122" s="3"/>
    </row>
    <row r="123" spans="1:19" ht="15.75" customHeight="1" thickBot="1" x14ac:dyDescent="0.3">
      <c r="A123" s="175" t="s">
        <v>209</v>
      </c>
      <c r="B123" s="177" t="s">
        <v>210</v>
      </c>
      <c r="C123" s="178"/>
      <c r="D123" s="178"/>
      <c r="E123" s="178"/>
      <c r="F123" s="178"/>
      <c r="G123" s="180" t="s">
        <v>441</v>
      </c>
      <c r="H123" s="181"/>
      <c r="I123" s="175" t="s">
        <v>212</v>
      </c>
      <c r="J123" s="3"/>
      <c r="K123" s="175" t="s">
        <v>209</v>
      </c>
      <c r="L123" s="177" t="s">
        <v>210</v>
      </c>
      <c r="M123" s="178"/>
      <c r="N123" s="178"/>
      <c r="O123" s="178"/>
      <c r="P123" s="178"/>
      <c r="Q123" s="180" t="s">
        <v>441</v>
      </c>
      <c r="R123" s="181"/>
      <c r="S123" s="175" t="s">
        <v>212</v>
      </c>
    </row>
    <row r="124" spans="1:19" ht="68.25" customHeight="1" thickBot="1" x14ac:dyDescent="0.3">
      <c r="A124" s="176"/>
      <c r="B124" s="179"/>
      <c r="C124" s="179"/>
      <c r="D124" s="179"/>
      <c r="E124" s="179"/>
      <c r="F124" s="179"/>
      <c r="G124" s="182"/>
      <c r="H124" s="183"/>
      <c r="I124" s="184"/>
      <c r="J124" s="31"/>
      <c r="K124" s="176"/>
      <c r="L124" s="179"/>
      <c r="M124" s="179"/>
      <c r="N124" s="179"/>
      <c r="O124" s="179"/>
      <c r="P124" s="179"/>
      <c r="Q124" s="182"/>
      <c r="R124" s="183"/>
      <c r="S124" s="184"/>
    </row>
    <row r="125" spans="1:19" ht="21.75" customHeight="1" thickBot="1" x14ac:dyDescent="0.3">
      <c r="A125" s="185" t="s">
        <v>213</v>
      </c>
      <c r="B125" s="187" t="s">
        <v>354</v>
      </c>
      <c r="C125" s="188"/>
      <c r="D125" s="188"/>
      <c r="E125" s="188"/>
      <c r="F125" s="188"/>
      <c r="G125" s="190">
        <v>55266.06</v>
      </c>
      <c r="H125" s="191"/>
      <c r="I125" s="192"/>
      <c r="J125" s="32"/>
      <c r="K125" s="185" t="s">
        <v>213</v>
      </c>
      <c r="L125" s="187" t="s">
        <v>354</v>
      </c>
      <c r="M125" s="188"/>
      <c r="N125" s="188"/>
      <c r="O125" s="188"/>
      <c r="P125" s="188"/>
      <c r="Q125" s="190">
        <v>148852.56</v>
      </c>
      <c r="R125" s="191"/>
      <c r="S125" s="192"/>
    </row>
    <row r="126" spans="1:19" ht="15.75" hidden="1" customHeight="1" x14ac:dyDescent="0.25">
      <c r="A126" s="186"/>
      <c r="B126" s="189"/>
      <c r="C126" s="189"/>
      <c r="D126" s="189"/>
      <c r="E126" s="189"/>
      <c r="F126" s="189"/>
      <c r="G126" s="193"/>
      <c r="H126" s="194"/>
      <c r="I126" s="128"/>
      <c r="J126" s="33"/>
      <c r="K126" s="186"/>
      <c r="L126" s="189"/>
      <c r="M126" s="189"/>
      <c r="N126" s="189"/>
      <c r="O126" s="189"/>
      <c r="P126" s="189"/>
      <c r="Q126" s="193"/>
      <c r="R126" s="194"/>
      <c r="S126" s="128"/>
    </row>
    <row r="127" spans="1:19" ht="16.5" customHeight="1" x14ac:dyDescent="0.25">
      <c r="A127" s="6"/>
      <c r="B127" s="161" t="s">
        <v>214</v>
      </c>
      <c r="C127" s="162"/>
      <c r="D127" s="162"/>
      <c r="E127" s="162"/>
      <c r="F127" s="162"/>
      <c r="G127" s="163">
        <f>1.99*12*F122</f>
        <v>76215.407999999996</v>
      </c>
      <c r="H127" s="164"/>
      <c r="I127" s="169" t="s">
        <v>215</v>
      </c>
      <c r="J127" s="36"/>
      <c r="K127" s="6"/>
      <c r="L127" s="161" t="s">
        <v>214</v>
      </c>
      <c r="M127" s="162"/>
      <c r="N127" s="162"/>
      <c r="O127" s="162"/>
      <c r="P127" s="162"/>
      <c r="Q127" s="163">
        <f>2.24*12*P122</f>
        <v>123212.54400000002</v>
      </c>
      <c r="R127" s="164"/>
      <c r="S127" s="169" t="s">
        <v>215</v>
      </c>
    </row>
    <row r="128" spans="1:19" ht="13.5" customHeight="1" thickBot="1" x14ac:dyDescent="0.3">
      <c r="A128" s="7"/>
      <c r="B128" s="171" t="s">
        <v>216</v>
      </c>
      <c r="C128" s="172"/>
      <c r="D128" s="172"/>
      <c r="E128" s="172"/>
      <c r="F128" s="172"/>
      <c r="G128" s="165"/>
      <c r="H128" s="166"/>
      <c r="I128" s="170"/>
      <c r="J128" s="35"/>
      <c r="K128" s="7"/>
      <c r="L128" s="171" t="s">
        <v>216</v>
      </c>
      <c r="M128" s="172"/>
      <c r="N128" s="172"/>
      <c r="O128" s="172"/>
      <c r="P128" s="172"/>
      <c r="Q128" s="165"/>
      <c r="R128" s="166"/>
      <c r="S128" s="170"/>
    </row>
    <row r="129" spans="1:19" ht="13.5" customHeight="1" thickBot="1" x14ac:dyDescent="0.3">
      <c r="A129" s="7"/>
      <c r="B129" s="173" t="s">
        <v>217</v>
      </c>
      <c r="C129" s="174"/>
      <c r="D129" s="174"/>
      <c r="E129" s="174"/>
      <c r="F129" s="174"/>
      <c r="G129" s="167"/>
      <c r="H129" s="168"/>
      <c r="I129" s="8" t="s">
        <v>218</v>
      </c>
      <c r="J129" s="36"/>
      <c r="K129" s="7"/>
      <c r="L129" s="173" t="s">
        <v>217</v>
      </c>
      <c r="M129" s="174"/>
      <c r="N129" s="174"/>
      <c r="O129" s="174"/>
      <c r="P129" s="174"/>
      <c r="Q129" s="167"/>
      <c r="R129" s="168"/>
      <c r="S129" s="8" t="s">
        <v>218</v>
      </c>
    </row>
    <row r="130" spans="1:19" ht="15.75" customHeight="1" thickBot="1" x14ac:dyDescent="0.3">
      <c r="A130" s="7"/>
      <c r="B130" s="141" t="s">
        <v>219</v>
      </c>
      <c r="C130" s="142"/>
      <c r="D130" s="142"/>
      <c r="E130" s="142"/>
      <c r="F130" s="142"/>
      <c r="G130" s="143">
        <v>0</v>
      </c>
      <c r="H130" s="144"/>
      <c r="I130" s="8" t="s">
        <v>220</v>
      </c>
      <c r="J130" s="36"/>
      <c r="K130" s="7"/>
      <c r="L130" s="141" t="s">
        <v>219</v>
      </c>
      <c r="M130" s="142"/>
      <c r="N130" s="142"/>
      <c r="O130" s="142"/>
      <c r="P130" s="142"/>
      <c r="Q130" s="143">
        <v>0</v>
      </c>
      <c r="R130" s="144"/>
      <c r="S130" s="8" t="s">
        <v>220</v>
      </c>
    </row>
    <row r="131" spans="1:19" ht="15.75" customHeight="1" thickBot="1" x14ac:dyDescent="0.3">
      <c r="A131" s="7"/>
      <c r="B131" s="141" t="s">
        <v>221</v>
      </c>
      <c r="C131" s="142"/>
      <c r="D131" s="142"/>
      <c r="E131" s="142"/>
      <c r="F131" s="142"/>
      <c r="G131" s="143">
        <f>0.474*F122*12</f>
        <v>18153.820799999998</v>
      </c>
      <c r="H131" s="144"/>
      <c r="I131" s="8" t="s">
        <v>222</v>
      </c>
      <c r="J131" s="37"/>
      <c r="K131" s="7"/>
      <c r="L131" s="141" t="s">
        <v>221</v>
      </c>
      <c r="M131" s="142"/>
      <c r="N131" s="142"/>
      <c r="O131" s="142"/>
      <c r="P131" s="142"/>
      <c r="Q131" s="143">
        <f>0.474*P122*12</f>
        <v>26072.654399999999</v>
      </c>
      <c r="R131" s="144"/>
      <c r="S131" s="8" t="s">
        <v>222</v>
      </c>
    </row>
    <row r="132" spans="1:19" ht="13.5" customHeight="1" x14ac:dyDescent="0.25">
      <c r="A132" s="9"/>
      <c r="B132" s="145" t="s">
        <v>223</v>
      </c>
      <c r="C132" s="146"/>
      <c r="D132" s="146"/>
      <c r="E132" s="146"/>
      <c r="F132" s="146"/>
      <c r="G132" s="86">
        <f>2.14*12*F122</f>
        <v>81960.288</v>
      </c>
      <c r="H132" s="147"/>
      <c r="I132" s="152" t="s">
        <v>224</v>
      </c>
      <c r="J132" s="38"/>
      <c r="K132" s="9"/>
      <c r="L132" s="145" t="s">
        <v>223</v>
      </c>
      <c r="M132" s="146"/>
      <c r="N132" s="146"/>
      <c r="O132" s="146"/>
      <c r="P132" s="146"/>
      <c r="Q132" s="86">
        <f>2.29*12*P122</f>
        <v>125962.82400000001</v>
      </c>
      <c r="R132" s="147"/>
      <c r="S132" s="152" t="s">
        <v>224</v>
      </c>
    </row>
    <row r="133" spans="1:19" ht="13.5" customHeight="1" x14ac:dyDescent="0.25">
      <c r="A133" s="10"/>
      <c r="B133" s="155" t="s">
        <v>226</v>
      </c>
      <c r="C133" s="156"/>
      <c r="D133" s="156"/>
      <c r="E133" s="156"/>
      <c r="F133" s="156"/>
      <c r="G133" s="148"/>
      <c r="H133" s="149"/>
      <c r="I133" s="153"/>
      <c r="J133" s="38"/>
      <c r="K133" s="10"/>
      <c r="L133" s="155" t="s">
        <v>226</v>
      </c>
      <c r="M133" s="156"/>
      <c r="N133" s="156"/>
      <c r="O133" s="156"/>
      <c r="P133" s="156"/>
      <c r="Q133" s="148"/>
      <c r="R133" s="149"/>
      <c r="S133" s="153"/>
    </row>
    <row r="134" spans="1:19" ht="13.5" customHeight="1" thickBot="1" x14ac:dyDescent="0.3">
      <c r="A134" s="10"/>
      <c r="B134" s="157" t="s">
        <v>227</v>
      </c>
      <c r="C134" s="158"/>
      <c r="D134" s="158"/>
      <c r="E134" s="158"/>
      <c r="F134" s="158"/>
      <c r="G134" s="148"/>
      <c r="H134" s="149"/>
      <c r="I134" s="154"/>
      <c r="J134" s="39"/>
      <c r="K134" s="10"/>
      <c r="L134" s="157" t="s">
        <v>227</v>
      </c>
      <c r="M134" s="158"/>
      <c r="N134" s="158"/>
      <c r="O134" s="158"/>
      <c r="P134" s="158"/>
      <c r="Q134" s="148"/>
      <c r="R134" s="149"/>
      <c r="S134" s="154"/>
    </row>
    <row r="135" spans="1:19" ht="13.5" customHeight="1" thickBot="1" x14ac:dyDescent="0.3">
      <c r="A135" s="10"/>
      <c r="B135" s="159" t="s">
        <v>228</v>
      </c>
      <c r="C135" s="160"/>
      <c r="D135" s="160"/>
      <c r="E135" s="160"/>
      <c r="F135" s="160"/>
      <c r="G135" s="150"/>
      <c r="H135" s="151"/>
      <c r="I135" s="11" t="s">
        <v>229</v>
      </c>
      <c r="J135" s="36"/>
      <c r="K135" s="10"/>
      <c r="L135" s="159" t="s">
        <v>228</v>
      </c>
      <c r="M135" s="160"/>
      <c r="N135" s="160"/>
      <c r="O135" s="160"/>
      <c r="P135" s="160"/>
      <c r="Q135" s="150"/>
      <c r="R135" s="151"/>
      <c r="S135" s="11" t="s">
        <v>229</v>
      </c>
    </row>
    <row r="136" spans="1:19" ht="13.5" customHeight="1" x14ac:dyDescent="0.25">
      <c r="A136" s="12"/>
      <c r="B136" s="125" t="s">
        <v>230</v>
      </c>
      <c r="C136" s="126"/>
      <c r="D136" s="126"/>
      <c r="E136" s="126"/>
      <c r="F136" s="126"/>
      <c r="G136" s="86">
        <f>0.048*12*F122</f>
        <v>1838.3616000000002</v>
      </c>
      <c r="H136" s="87"/>
      <c r="I136" s="129" t="s">
        <v>220</v>
      </c>
      <c r="J136" s="36"/>
      <c r="K136" s="12"/>
      <c r="L136" s="125" t="s">
        <v>230</v>
      </c>
      <c r="M136" s="126"/>
      <c r="N136" s="126"/>
      <c r="O136" s="126"/>
      <c r="P136" s="126"/>
      <c r="Q136" s="86">
        <f>0.048*12*P122</f>
        <v>2640.2688000000003</v>
      </c>
      <c r="R136" s="87"/>
      <c r="S136" s="129" t="s">
        <v>220</v>
      </c>
    </row>
    <row r="137" spans="1:19" ht="13.5" customHeight="1" thickBot="1" x14ac:dyDescent="0.3">
      <c r="A137" s="7"/>
      <c r="B137" s="131" t="s">
        <v>231</v>
      </c>
      <c r="C137" s="132"/>
      <c r="D137" s="132"/>
      <c r="E137" s="132"/>
      <c r="F137" s="132"/>
      <c r="G137" s="127"/>
      <c r="H137" s="128"/>
      <c r="I137" s="130"/>
      <c r="J137" s="36"/>
      <c r="K137" s="7"/>
      <c r="L137" s="131" t="s">
        <v>231</v>
      </c>
      <c r="M137" s="132"/>
      <c r="N137" s="132"/>
      <c r="O137" s="132"/>
      <c r="P137" s="132"/>
      <c r="Q137" s="127"/>
      <c r="R137" s="128"/>
      <c r="S137" s="130"/>
    </row>
    <row r="138" spans="1:19" ht="15.75" customHeight="1" thickBot="1" x14ac:dyDescent="0.3">
      <c r="A138" s="13"/>
      <c r="B138" s="133" t="s">
        <v>232</v>
      </c>
      <c r="C138" s="134"/>
      <c r="D138" s="134"/>
      <c r="E138" s="134"/>
      <c r="F138" s="134"/>
      <c r="G138" s="135"/>
      <c r="H138" s="136"/>
      <c r="I138" s="14"/>
      <c r="J138" s="36"/>
      <c r="K138" s="13"/>
      <c r="L138" s="133" t="s">
        <v>232</v>
      </c>
      <c r="M138" s="134"/>
      <c r="N138" s="134"/>
      <c r="O138" s="134"/>
      <c r="P138" s="134"/>
      <c r="Q138" s="135"/>
      <c r="R138" s="136"/>
      <c r="S138" s="14"/>
    </row>
    <row r="139" spans="1:19" ht="24.95" customHeight="1" thickBot="1" x14ac:dyDescent="0.3">
      <c r="A139" s="13"/>
      <c r="B139" s="84" t="s">
        <v>233</v>
      </c>
      <c r="C139" s="85"/>
      <c r="D139" s="85"/>
      <c r="E139" s="85"/>
      <c r="F139" s="85"/>
      <c r="G139" s="86">
        <f>1.95*12*F122</f>
        <v>74683.439999999988</v>
      </c>
      <c r="H139" s="87"/>
      <c r="I139" s="92" t="s">
        <v>462</v>
      </c>
      <c r="J139" s="41"/>
      <c r="K139" s="13"/>
      <c r="L139" s="84" t="s">
        <v>233</v>
      </c>
      <c r="M139" s="85"/>
      <c r="N139" s="85"/>
      <c r="O139" s="85"/>
      <c r="P139" s="85"/>
      <c r="Q139" s="86">
        <f>1.86*12*P122</f>
        <v>102310.41600000001</v>
      </c>
      <c r="R139" s="87"/>
      <c r="S139" s="92" t="s">
        <v>463</v>
      </c>
    </row>
    <row r="140" spans="1:19" ht="28.5" customHeight="1" x14ac:dyDescent="0.25">
      <c r="A140" s="118"/>
      <c r="B140" s="121" t="s">
        <v>226</v>
      </c>
      <c r="C140" s="122"/>
      <c r="D140" s="122"/>
      <c r="E140" s="122"/>
      <c r="F140" s="122"/>
      <c r="G140" s="88"/>
      <c r="H140" s="89"/>
      <c r="I140" s="93"/>
      <c r="J140" s="41"/>
      <c r="K140" s="118"/>
      <c r="L140" s="121" t="s">
        <v>226</v>
      </c>
      <c r="M140" s="122"/>
      <c r="N140" s="122"/>
      <c r="O140" s="122"/>
      <c r="P140" s="122"/>
      <c r="Q140" s="88"/>
      <c r="R140" s="89"/>
      <c r="S140" s="93"/>
    </row>
    <row r="141" spans="1:19" ht="28.5" customHeight="1" x14ac:dyDescent="0.25">
      <c r="A141" s="119"/>
      <c r="B141" s="121" t="s">
        <v>227</v>
      </c>
      <c r="C141" s="122"/>
      <c r="D141" s="122"/>
      <c r="E141" s="122"/>
      <c r="F141" s="122"/>
      <c r="G141" s="88"/>
      <c r="H141" s="89"/>
      <c r="I141" s="93"/>
      <c r="J141" s="41"/>
      <c r="K141" s="119"/>
      <c r="L141" s="121" t="s">
        <v>227</v>
      </c>
      <c r="M141" s="122"/>
      <c r="N141" s="122"/>
      <c r="O141" s="122"/>
      <c r="P141" s="122"/>
      <c r="Q141" s="88"/>
      <c r="R141" s="89"/>
      <c r="S141" s="93"/>
    </row>
    <row r="142" spans="1:19" ht="36" customHeight="1" x14ac:dyDescent="0.25">
      <c r="A142" s="119"/>
      <c r="B142" s="121" t="s">
        <v>228</v>
      </c>
      <c r="C142" s="122"/>
      <c r="D142" s="122"/>
      <c r="E142" s="122"/>
      <c r="F142" s="122"/>
      <c r="G142" s="88"/>
      <c r="H142" s="89"/>
      <c r="I142" s="93"/>
      <c r="J142" s="42"/>
      <c r="K142" s="119"/>
      <c r="L142" s="121" t="s">
        <v>228</v>
      </c>
      <c r="M142" s="122"/>
      <c r="N142" s="122"/>
      <c r="O142" s="122"/>
      <c r="P142" s="122"/>
      <c r="Q142" s="88"/>
      <c r="R142" s="89"/>
      <c r="S142" s="93"/>
    </row>
    <row r="143" spans="1:19" ht="30.95" customHeight="1" thickBot="1" x14ac:dyDescent="0.3">
      <c r="A143" s="120"/>
      <c r="B143" s="123" t="s">
        <v>234</v>
      </c>
      <c r="C143" s="124"/>
      <c r="D143" s="124"/>
      <c r="E143" s="124"/>
      <c r="F143" s="124"/>
      <c r="G143" s="90"/>
      <c r="H143" s="91"/>
      <c r="I143" s="94"/>
      <c r="J143" s="43"/>
      <c r="K143" s="120"/>
      <c r="L143" s="123" t="s">
        <v>234</v>
      </c>
      <c r="M143" s="124"/>
      <c r="N143" s="124"/>
      <c r="O143" s="124"/>
      <c r="P143" s="124"/>
      <c r="Q143" s="90"/>
      <c r="R143" s="91"/>
      <c r="S143" s="94"/>
    </row>
    <row r="144" spans="1:19" ht="0.75" customHeight="1" thickBot="1" x14ac:dyDescent="0.3">
      <c r="A144" s="15"/>
      <c r="B144" s="137"/>
      <c r="C144" s="138"/>
      <c r="D144" s="138"/>
      <c r="E144" s="138"/>
      <c r="F144" s="138"/>
      <c r="G144" s="139"/>
      <c r="H144" s="140"/>
      <c r="I144" s="16"/>
      <c r="J144" s="44"/>
      <c r="K144" s="15"/>
      <c r="L144" s="137"/>
      <c r="M144" s="138"/>
      <c r="N144" s="138"/>
      <c r="O144" s="138"/>
      <c r="P144" s="138"/>
      <c r="Q144" s="139"/>
      <c r="R144" s="140"/>
      <c r="S144" s="16"/>
    </row>
    <row r="145" spans="1:19" ht="28.5" customHeight="1" thickBot="1" x14ac:dyDescent="0.3">
      <c r="A145" s="15"/>
      <c r="B145" s="137" t="s">
        <v>235</v>
      </c>
      <c r="C145" s="138"/>
      <c r="D145" s="138"/>
      <c r="E145" s="138"/>
      <c r="F145" s="138"/>
      <c r="G145" s="139"/>
      <c r="H145" s="140"/>
      <c r="I145" s="16"/>
      <c r="J145" s="40"/>
      <c r="K145" s="15"/>
      <c r="L145" s="137" t="s">
        <v>235</v>
      </c>
      <c r="M145" s="138"/>
      <c r="N145" s="138"/>
      <c r="O145" s="138"/>
      <c r="P145" s="138"/>
      <c r="Q145" s="139"/>
      <c r="R145" s="140"/>
      <c r="S145" s="16"/>
    </row>
    <row r="146" spans="1:19" ht="27" customHeight="1" thickBot="1" x14ac:dyDescent="0.3">
      <c r="A146" s="17"/>
      <c r="B146" s="78" t="s">
        <v>237</v>
      </c>
      <c r="C146" s="79"/>
      <c r="D146" s="79"/>
      <c r="E146" s="79"/>
      <c r="F146" s="79"/>
      <c r="G146" s="86">
        <v>2290</v>
      </c>
      <c r="H146" s="87"/>
      <c r="I146" s="108" t="s">
        <v>229</v>
      </c>
      <c r="J146" s="62"/>
      <c r="K146" s="17"/>
      <c r="L146" s="78" t="s">
        <v>237</v>
      </c>
      <c r="M146" s="79"/>
      <c r="N146" s="79"/>
      <c r="O146" s="79"/>
      <c r="P146" s="79"/>
      <c r="Q146" s="86">
        <v>2012</v>
      </c>
      <c r="R146" s="87"/>
      <c r="S146" s="108" t="s">
        <v>229</v>
      </c>
    </row>
    <row r="147" spans="1:19" ht="15.75" customHeight="1" thickBot="1" x14ac:dyDescent="0.3">
      <c r="A147" s="18"/>
      <c r="B147" s="110" t="s">
        <v>238</v>
      </c>
      <c r="C147" s="111"/>
      <c r="D147" s="111"/>
      <c r="E147" s="111"/>
      <c r="F147" s="111"/>
      <c r="G147" s="90"/>
      <c r="H147" s="91"/>
      <c r="I147" s="109"/>
      <c r="J147" s="46"/>
      <c r="K147" s="18"/>
      <c r="L147" s="110" t="s">
        <v>238</v>
      </c>
      <c r="M147" s="111"/>
      <c r="N147" s="111"/>
      <c r="O147" s="111"/>
      <c r="P147" s="111"/>
      <c r="Q147" s="90"/>
      <c r="R147" s="91"/>
      <c r="S147" s="109"/>
    </row>
    <row r="148" spans="1:19" ht="15.75" customHeight="1" thickBot="1" x14ac:dyDescent="0.3">
      <c r="A148" s="19"/>
      <c r="B148" s="112" t="s">
        <v>239</v>
      </c>
      <c r="C148" s="113"/>
      <c r="D148" s="113"/>
      <c r="E148" s="113"/>
      <c r="F148" s="113"/>
      <c r="G148" s="114">
        <f>SUM(G127:H147)</f>
        <v>255141.31839999999</v>
      </c>
      <c r="H148" s="115"/>
      <c r="I148" s="20"/>
      <c r="J148" s="47"/>
      <c r="K148" s="19"/>
      <c r="L148" s="112" t="s">
        <v>239</v>
      </c>
      <c r="M148" s="113"/>
      <c r="N148" s="113"/>
      <c r="O148" s="113"/>
      <c r="P148" s="113"/>
      <c r="Q148" s="114">
        <f>SUM(Q127:R147)</f>
        <v>382210.70720000006</v>
      </c>
      <c r="R148" s="115"/>
      <c r="S148" s="20"/>
    </row>
    <row r="149" spans="1:19" ht="15.75" customHeight="1" thickBot="1" x14ac:dyDescent="0.3">
      <c r="A149" s="21"/>
      <c r="B149" s="101" t="s">
        <v>240</v>
      </c>
      <c r="C149" s="102"/>
      <c r="D149" s="102"/>
      <c r="E149" s="102"/>
      <c r="F149" s="102"/>
      <c r="G149" s="116">
        <f>G148*1.2</f>
        <v>306169.58207999996</v>
      </c>
      <c r="H149" s="117"/>
      <c r="I149" s="22"/>
      <c r="J149" s="47"/>
      <c r="K149" s="21"/>
      <c r="L149" s="101" t="s">
        <v>240</v>
      </c>
      <c r="M149" s="102"/>
      <c r="N149" s="102"/>
      <c r="O149" s="102"/>
      <c r="P149" s="102"/>
      <c r="Q149" s="116">
        <f>Q148*1.2</f>
        <v>458652.84864000004</v>
      </c>
      <c r="R149" s="117"/>
      <c r="S149" s="22"/>
    </row>
    <row r="150" spans="1:19" ht="15.75" customHeight="1" thickBot="1" x14ac:dyDescent="0.3">
      <c r="A150" s="24"/>
      <c r="B150" s="96" t="s">
        <v>443</v>
      </c>
      <c r="C150" s="97"/>
      <c r="D150" s="97"/>
      <c r="E150" s="97"/>
      <c r="F150" s="97"/>
      <c r="G150" s="295">
        <v>326826.25</v>
      </c>
      <c r="H150" s="296"/>
      <c r="I150" s="297"/>
      <c r="J150" s="47"/>
      <c r="K150" s="24"/>
      <c r="L150" s="96" t="s">
        <v>443</v>
      </c>
      <c r="M150" s="97"/>
      <c r="N150" s="97"/>
      <c r="O150" s="97"/>
      <c r="P150" s="97"/>
      <c r="Q150" s="295">
        <v>506141.42</v>
      </c>
      <c r="R150" s="296"/>
      <c r="S150" s="297"/>
    </row>
    <row r="151" spans="1:19" ht="15.75" thickBot="1" x14ac:dyDescent="0.3">
      <c r="A151" s="19"/>
      <c r="B151" s="101" t="s">
        <v>242</v>
      </c>
      <c r="C151" s="102"/>
      <c r="D151" s="102"/>
      <c r="E151" s="102"/>
      <c r="F151" s="102"/>
      <c r="G151" s="116">
        <v>317624.95</v>
      </c>
      <c r="H151" s="298"/>
      <c r="I151" s="214"/>
      <c r="J151" s="48"/>
      <c r="K151" s="19"/>
      <c r="L151" s="101" t="s">
        <v>242</v>
      </c>
      <c r="M151" s="102"/>
      <c r="N151" s="102"/>
      <c r="O151" s="102"/>
      <c r="P151" s="102"/>
      <c r="Q151" s="116">
        <v>484069.08</v>
      </c>
      <c r="R151" s="298"/>
      <c r="S151" s="214"/>
    </row>
    <row r="152" spans="1:19" ht="15.75" customHeight="1" thickBot="1" x14ac:dyDescent="0.3">
      <c r="A152" s="19"/>
      <c r="B152" s="106" t="s">
        <v>444</v>
      </c>
      <c r="C152" s="107"/>
      <c r="D152" s="107"/>
      <c r="E152" s="107"/>
      <c r="F152" s="107"/>
      <c r="G152" s="116">
        <v>64467.360000000001</v>
      </c>
      <c r="H152" s="298"/>
      <c r="I152" s="214"/>
      <c r="J152" s="49"/>
      <c r="K152" s="19"/>
      <c r="L152" s="106" t="s">
        <v>444</v>
      </c>
      <c r="M152" s="107"/>
      <c r="N152" s="107"/>
      <c r="O152" s="107"/>
      <c r="P152" s="107"/>
      <c r="Q152" s="116">
        <v>170924.9</v>
      </c>
      <c r="R152" s="298"/>
      <c r="S152" s="214"/>
    </row>
    <row r="153" spans="1:19" ht="47.25" customHeight="1" x14ac:dyDescent="0.25">
      <c r="A153" s="4"/>
      <c r="B153" s="195"/>
      <c r="C153" s="195"/>
      <c r="D153" s="195"/>
      <c r="E153" s="195"/>
      <c r="F153" s="195"/>
      <c r="G153" s="195"/>
      <c r="H153" s="195"/>
      <c r="I153" s="195"/>
      <c r="K153" s="4"/>
      <c r="L153" s="302"/>
      <c r="M153" s="162"/>
      <c r="N153" s="162"/>
      <c r="O153" s="162"/>
      <c r="P153" s="162"/>
      <c r="Q153" s="162"/>
      <c r="R153" s="162"/>
      <c r="S153" s="162"/>
    </row>
    <row r="154" spans="1:19" x14ac:dyDescent="0.25">
      <c r="E154" s="50"/>
      <c r="I154" s="5"/>
      <c r="O154" s="50"/>
      <c r="S154" s="5"/>
    </row>
    <row r="155" spans="1:19" x14ac:dyDescent="0.25">
      <c r="A155" s="3"/>
      <c r="I155" s="5"/>
      <c r="K155" s="3"/>
      <c r="S155" s="5"/>
    </row>
    <row r="156" spans="1:19" ht="15.75" x14ac:dyDescent="0.25">
      <c r="A156" s="30"/>
      <c r="K156" s="30"/>
    </row>
    <row r="157" spans="1:19" ht="15.75" x14ac:dyDescent="0.25">
      <c r="A157" s="30"/>
      <c r="K157" s="30"/>
    </row>
    <row r="158" spans="1:19" x14ac:dyDescent="0.25">
      <c r="A158" s="3"/>
      <c r="B158" s="3"/>
      <c r="C158" s="3"/>
      <c r="D158" s="3"/>
      <c r="E158" s="4" t="s">
        <v>204</v>
      </c>
      <c r="F158" s="3"/>
      <c r="G158" s="3"/>
      <c r="H158" s="3"/>
      <c r="I158" s="3"/>
      <c r="K158" s="3"/>
      <c r="L158" s="3"/>
      <c r="M158" s="3"/>
      <c r="N158" s="3"/>
      <c r="O158" s="4" t="s">
        <v>204</v>
      </c>
      <c r="P158" s="3"/>
      <c r="Q158" s="3"/>
      <c r="R158" s="3"/>
      <c r="S158" s="3"/>
    </row>
    <row r="159" spans="1:19" x14ac:dyDescent="0.25">
      <c r="A159" s="3" t="s">
        <v>205</v>
      </c>
      <c r="B159" s="3"/>
      <c r="C159" s="3"/>
      <c r="D159" s="3" t="s">
        <v>257</v>
      </c>
      <c r="E159" s="3"/>
      <c r="F159" s="3"/>
      <c r="G159" s="3"/>
      <c r="H159" s="3"/>
      <c r="I159" s="3"/>
      <c r="K159" s="3" t="s">
        <v>205</v>
      </c>
      <c r="L159" s="3"/>
      <c r="M159" s="3"/>
      <c r="N159" s="3" t="s">
        <v>258</v>
      </c>
      <c r="O159" s="3"/>
      <c r="P159" s="3"/>
      <c r="Q159" s="3"/>
      <c r="R159" s="3"/>
      <c r="S159" s="3"/>
    </row>
    <row r="160" spans="1:19" x14ac:dyDescent="0.25">
      <c r="A160" s="3"/>
      <c r="B160" s="5" t="s">
        <v>440</v>
      </c>
      <c r="C160" s="3"/>
      <c r="D160" s="3"/>
      <c r="E160" s="3"/>
      <c r="F160" s="3"/>
      <c r="G160" s="3"/>
      <c r="H160" s="3"/>
      <c r="I160" s="3"/>
      <c r="K160" s="3"/>
      <c r="L160" s="5" t="s">
        <v>440</v>
      </c>
      <c r="M160" s="3"/>
      <c r="N160" s="3"/>
      <c r="O160" s="3"/>
      <c r="P160" s="3"/>
      <c r="Q160" s="3"/>
      <c r="R160" s="3"/>
      <c r="S160" s="3"/>
    </row>
    <row r="161" spans="1:19" ht="15.75" thickBot="1" x14ac:dyDescent="0.3">
      <c r="A161" s="3"/>
      <c r="B161" s="5" t="s">
        <v>206</v>
      </c>
      <c r="C161" s="3"/>
      <c r="D161" s="3"/>
      <c r="E161" s="3"/>
      <c r="F161" s="3">
        <f>'[1]Ж-2,3'!$M$9</f>
        <v>2578.8000000000002</v>
      </c>
      <c r="G161" s="3" t="s">
        <v>207</v>
      </c>
      <c r="H161" s="3"/>
      <c r="I161" s="3"/>
      <c r="J161" s="3"/>
      <c r="K161" s="3"/>
      <c r="L161" s="5" t="s">
        <v>206</v>
      </c>
      <c r="M161" s="3"/>
      <c r="N161" s="3"/>
      <c r="O161" s="3"/>
      <c r="P161" s="3">
        <f>'[1]Ж-2,3'!$N$9</f>
        <v>7266.5</v>
      </c>
      <c r="Q161" s="3" t="s">
        <v>207</v>
      </c>
      <c r="R161" s="3"/>
      <c r="S161" s="3"/>
    </row>
    <row r="162" spans="1:19" ht="15.75" customHeight="1" thickBot="1" x14ac:dyDescent="0.3">
      <c r="A162" s="175" t="s">
        <v>209</v>
      </c>
      <c r="B162" s="177" t="s">
        <v>210</v>
      </c>
      <c r="C162" s="178"/>
      <c r="D162" s="178"/>
      <c r="E162" s="178"/>
      <c r="F162" s="178"/>
      <c r="G162" s="180" t="s">
        <v>441</v>
      </c>
      <c r="H162" s="181"/>
      <c r="I162" s="175" t="s">
        <v>212</v>
      </c>
      <c r="J162" s="3"/>
      <c r="K162" s="175" t="s">
        <v>209</v>
      </c>
      <c r="L162" s="177" t="s">
        <v>210</v>
      </c>
      <c r="M162" s="178"/>
      <c r="N162" s="178"/>
      <c r="O162" s="178"/>
      <c r="P162" s="178"/>
      <c r="Q162" s="180" t="s">
        <v>441</v>
      </c>
      <c r="R162" s="181"/>
      <c r="S162" s="175" t="s">
        <v>212</v>
      </c>
    </row>
    <row r="163" spans="1:19" ht="66" customHeight="1" thickBot="1" x14ac:dyDescent="0.3">
      <c r="A163" s="176"/>
      <c r="B163" s="179"/>
      <c r="C163" s="179"/>
      <c r="D163" s="179"/>
      <c r="E163" s="179"/>
      <c r="F163" s="179"/>
      <c r="G163" s="182"/>
      <c r="H163" s="183"/>
      <c r="I163" s="184"/>
      <c r="J163" s="31"/>
      <c r="K163" s="176"/>
      <c r="L163" s="179"/>
      <c r="M163" s="179"/>
      <c r="N163" s="179"/>
      <c r="O163" s="179"/>
      <c r="P163" s="179"/>
      <c r="Q163" s="182"/>
      <c r="R163" s="183"/>
      <c r="S163" s="184"/>
    </row>
    <row r="164" spans="1:19" ht="19.5" customHeight="1" thickBot="1" x14ac:dyDescent="0.3">
      <c r="A164" s="185" t="s">
        <v>213</v>
      </c>
      <c r="B164" s="187" t="s">
        <v>354</v>
      </c>
      <c r="C164" s="188"/>
      <c r="D164" s="188"/>
      <c r="E164" s="188"/>
      <c r="F164" s="188"/>
      <c r="G164" s="190">
        <v>34447.51</v>
      </c>
      <c r="H164" s="191"/>
      <c r="I164" s="192"/>
      <c r="J164" s="32"/>
      <c r="K164" s="185" t="s">
        <v>213</v>
      </c>
      <c r="L164" s="187" t="s">
        <v>354</v>
      </c>
      <c r="M164" s="188"/>
      <c r="N164" s="188"/>
      <c r="O164" s="188"/>
      <c r="P164" s="188"/>
      <c r="Q164" s="190">
        <v>176359.99</v>
      </c>
      <c r="R164" s="191"/>
      <c r="S164" s="192"/>
    </row>
    <row r="165" spans="1:19" ht="15.75" hidden="1" customHeight="1" x14ac:dyDescent="0.25">
      <c r="A165" s="186"/>
      <c r="B165" s="189"/>
      <c r="C165" s="189"/>
      <c r="D165" s="189"/>
      <c r="E165" s="189"/>
      <c r="F165" s="189"/>
      <c r="G165" s="193"/>
      <c r="H165" s="194"/>
      <c r="I165" s="128"/>
      <c r="J165" s="33"/>
      <c r="K165" s="186"/>
      <c r="L165" s="189"/>
      <c r="M165" s="189"/>
      <c r="N165" s="189"/>
      <c r="O165" s="189"/>
      <c r="P165" s="189"/>
      <c r="Q165" s="193"/>
      <c r="R165" s="194"/>
      <c r="S165" s="128"/>
    </row>
    <row r="166" spans="1:19" ht="16.5" customHeight="1" x14ac:dyDescent="0.25">
      <c r="A166" s="6"/>
      <c r="B166" s="161" t="s">
        <v>214</v>
      </c>
      <c r="C166" s="162"/>
      <c r="D166" s="162"/>
      <c r="E166" s="162"/>
      <c r="F166" s="162"/>
      <c r="G166" s="163">
        <f>2.1*12*F161</f>
        <v>64985.760000000009</v>
      </c>
      <c r="H166" s="164"/>
      <c r="I166" s="169" t="s">
        <v>215</v>
      </c>
      <c r="J166" s="36"/>
      <c r="K166" s="6"/>
      <c r="L166" s="161" t="s">
        <v>214</v>
      </c>
      <c r="M166" s="162"/>
      <c r="N166" s="162"/>
      <c r="O166" s="162"/>
      <c r="P166" s="162"/>
      <c r="Q166" s="163">
        <f>1.78*12*P161</f>
        <v>155212.44</v>
      </c>
      <c r="R166" s="164"/>
      <c r="S166" s="169" t="s">
        <v>215</v>
      </c>
    </row>
    <row r="167" spans="1:19" ht="13.5" customHeight="1" thickBot="1" x14ac:dyDescent="0.3">
      <c r="A167" s="7"/>
      <c r="B167" s="171" t="s">
        <v>216</v>
      </c>
      <c r="C167" s="172"/>
      <c r="D167" s="172"/>
      <c r="E167" s="172"/>
      <c r="F167" s="172"/>
      <c r="G167" s="165"/>
      <c r="H167" s="166"/>
      <c r="I167" s="170"/>
      <c r="J167" s="35"/>
      <c r="K167" s="7"/>
      <c r="L167" s="171" t="s">
        <v>216</v>
      </c>
      <c r="M167" s="172"/>
      <c r="N167" s="172"/>
      <c r="O167" s="172"/>
      <c r="P167" s="172"/>
      <c r="Q167" s="165"/>
      <c r="R167" s="166"/>
      <c r="S167" s="170"/>
    </row>
    <row r="168" spans="1:19" ht="13.5" customHeight="1" thickBot="1" x14ac:dyDescent="0.3">
      <c r="A168" s="7"/>
      <c r="B168" s="173" t="s">
        <v>217</v>
      </c>
      <c r="C168" s="174"/>
      <c r="D168" s="174"/>
      <c r="E168" s="174"/>
      <c r="F168" s="174"/>
      <c r="G168" s="167"/>
      <c r="H168" s="168"/>
      <c r="I168" s="8" t="s">
        <v>218</v>
      </c>
      <c r="J168" s="36"/>
      <c r="K168" s="7"/>
      <c r="L168" s="173" t="s">
        <v>217</v>
      </c>
      <c r="M168" s="174"/>
      <c r="N168" s="174"/>
      <c r="O168" s="174"/>
      <c r="P168" s="174"/>
      <c r="Q168" s="167"/>
      <c r="R168" s="168"/>
      <c r="S168" s="8" t="s">
        <v>218</v>
      </c>
    </row>
    <row r="169" spans="1:19" ht="18" customHeight="1" thickBot="1" x14ac:dyDescent="0.3">
      <c r="A169" s="7"/>
      <c r="B169" s="141" t="s">
        <v>219</v>
      </c>
      <c r="C169" s="142"/>
      <c r="D169" s="142"/>
      <c r="E169" s="142"/>
      <c r="F169" s="142"/>
      <c r="G169" s="143">
        <v>0</v>
      </c>
      <c r="H169" s="144"/>
      <c r="I169" s="8" t="s">
        <v>220</v>
      </c>
      <c r="J169" s="36"/>
      <c r="K169" s="7"/>
      <c r="L169" s="141" t="s">
        <v>219</v>
      </c>
      <c r="M169" s="142"/>
      <c r="N169" s="142"/>
      <c r="O169" s="142"/>
      <c r="P169" s="142"/>
      <c r="Q169" s="143">
        <f>1748.85*12*4</f>
        <v>83944.799999999988</v>
      </c>
      <c r="R169" s="144"/>
      <c r="S169" s="8" t="s">
        <v>220</v>
      </c>
    </row>
    <row r="170" spans="1:19" ht="18" customHeight="1" thickBot="1" x14ac:dyDescent="0.3">
      <c r="A170" s="7"/>
      <c r="B170" s="141" t="s">
        <v>221</v>
      </c>
      <c r="C170" s="142"/>
      <c r="D170" s="142"/>
      <c r="E170" s="142"/>
      <c r="F170" s="142"/>
      <c r="G170" s="143">
        <f>0.3*F161*12</f>
        <v>9283.68</v>
      </c>
      <c r="H170" s="144"/>
      <c r="I170" s="8" t="s">
        <v>222</v>
      </c>
      <c r="J170" s="37"/>
      <c r="K170" s="7"/>
      <c r="L170" s="141" t="s">
        <v>221</v>
      </c>
      <c r="M170" s="142"/>
      <c r="N170" s="142"/>
      <c r="O170" s="142"/>
      <c r="P170" s="142"/>
      <c r="Q170" s="143">
        <f>0.474*P161*12</f>
        <v>41331.851999999999</v>
      </c>
      <c r="R170" s="144"/>
      <c r="S170" s="8" t="s">
        <v>222</v>
      </c>
    </row>
    <row r="171" spans="1:19" ht="13.5" customHeight="1" x14ac:dyDescent="0.25">
      <c r="A171" s="9"/>
      <c r="B171" s="145" t="s">
        <v>223</v>
      </c>
      <c r="C171" s="146"/>
      <c r="D171" s="146"/>
      <c r="E171" s="146"/>
      <c r="F171" s="146"/>
      <c r="G171" s="86">
        <f>2*12*F161</f>
        <v>61891.200000000004</v>
      </c>
      <c r="H171" s="147"/>
      <c r="I171" s="152" t="s">
        <v>224</v>
      </c>
      <c r="J171" s="38"/>
      <c r="K171" s="9"/>
      <c r="L171" s="145" t="s">
        <v>223</v>
      </c>
      <c r="M171" s="146"/>
      <c r="N171" s="146"/>
      <c r="O171" s="146"/>
      <c r="P171" s="146"/>
      <c r="Q171" s="86">
        <f>2.19*12*P161</f>
        <v>190963.62</v>
      </c>
      <c r="R171" s="147"/>
      <c r="S171" s="152" t="s">
        <v>224</v>
      </c>
    </row>
    <row r="172" spans="1:19" ht="13.5" customHeight="1" x14ac:dyDescent="0.25">
      <c r="A172" s="10"/>
      <c r="B172" s="155" t="s">
        <v>226</v>
      </c>
      <c r="C172" s="156"/>
      <c r="D172" s="156"/>
      <c r="E172" s="156"/>
      <c r="F172" s="156"/>
      <c r="G172" s="148"/>
      <c r="H172" s="149"/>
      <c r="I172" s="153"/>
      <c r="J172" s="38"/>
      <c r="K172" s="10"/>
      <c r="L172" s="155" t="s">
        <v>226</v>
      </c>
      <c r="M172" s="156"/>
      <c r="N172" s="156"/>
      <c r="O172" s="156"/>
      <c r="P172" s="156"/>
      <c r="Q172" s="148"/>
      <c r="R172" s="149"/>
      <c r="S172" s="153"/>
    </row>
    <row r="173" spans="1:19" ht="13.5" customHeight="1" thickBot="1" x14ac:dyDescent="0.3">
      <c r="A173" s="10"/>
      <c r="B173" s="157" t="s">
        <v>227</v>
      </c>
      <c r="C173" s="158"/>
      <c r="D173" s="158"/>
      <c r="E173" s="158"/>
      <c r="F173" s="158"/>
      <c r="G173" s="148"/>
      <c r="H173" s="149"/>
      <c r="I173" s="154"/>
      <c r="J173" s="39"/>
      <c r="K173" s="10"/>
      <c r="L173" s="157" t="s">
        <v>227</v>
      </c>
      <c r="M173" s="158"/>
      <c r="N173" s="158"/>
      <c r="O173" s="158"/>
      <c r="P173" s="158"/>
      <c r="Q173" s="148"/>
      <c r="R173" s="149"/>
      <c r="S173" s="154"/>
    </row>
    <row r="174" spans="1:19" ht="13.5" customHeight="1" thickBot="1" x14ac:dyDescent="0.3">
      <c r="A174" s="10"/>
      <c r="B174" s="159" t="s">
        <v>228</v>
      </c>
      <c r="C174" s="160"/>
      <c r="D174" s="160"/>
      <c r="E174" s="160"/>
      <c r="F174" s="160"/>
      <c r="G174" s="150"/>
      <c r="H174" s="151"/>
      <c r="I174" s="11" t="s">
        <v>229</v>
      </c>
      <c r="J174" s="36"/>
      <c r="K174" s="10"/>
      <c r="L174" s="159" t="s">
        <v>228</v>
      </c>
      <c r="M174" s="160"/>
      <c r="N174" s="160"/>
      <c r="O174" s="160"/>
      <c r="P174" s="160"/>
      <c r="Q174" s="150"/>
      <c r="R174" s="151"/>
      <c r="S174" s="11" t="s">
        <v>229</v>
      </c>
    </row>
    <row r="175" spans="1:19" ht="13.5" customHeight="1" x14ac:dyDescent="0.25">
      <c r="A175" s="12"/>
      <c r="B175" s="125" t="s">
        <v>230</v>
      </c>
      <c r="C175" s="126"/>
      <c r="D175" s="126"/>
      <c r="E175" s="126"/>
      <c r="F175" s="126"/>
      <c r="G175" s="86">
        <f>0.048*12*F161</f>
        <v>1485.3888000000002</v>
      </c>
      <c r="H175" s="87"/>
      <c r="I175" s="129" t="s">
        <v>220</v>
      </c>
      <c r="J175" s="36"/>
      <c r="K175" s="12"/>
      <c r="L175" s="125" t="s">
        <v>230</v>
      </c>
      <c r="M175" s="126"/>
      <c r="N175" s="126"/>
      <c r="O175" s="126"/>
      <c r="P175" s="126"/>
      <c r="Q175" s="86">
        <f>0.048*12*P161</f>
        <v>4185.5040000000008</v>
      </c>
      <c r="R175" s="87"/>
      <c r="S175" s="129" t="s">
        <v>220</v>
      </c>
    </row>
    <row r="176" spans="1:19" ht="13.5" customHeight="1" thickBot="1" x14ac:dyDescent="0.3">
      <c r="A176" s="7"/>
      <c r="B176" s="131" t="s">
        <v>231</v>
      </c>
      <c r="C176" s="132"/>
      <c r="D176" s="132"/>
      <c r="E176" s="132"/>
      <c r="F176" s="132"/>
      <c r="G176" s="127"/>
      <c r="H176" s="128"/>
      <c r="I176" s="130"/>
      <c r="J176" s="36"/>
      <c r="K176" s="7"/>
      <c r="L176" s="131" t="s">
        <v>231</v>
      </c>
      <c r="M176" s="132"/>
      <c r="N176" s="132"/>
      <c r="O176" s="132"/>
      <c r="P176" s="132"/>
      <c r="Q176" s="127"/>
      <c r="R176" s="128"/>
      <c r="S176" s="130"/>
    </row>
    <row r="177" spans="1:19" ht="15.75" customHeight="1" thickBot="1" x14ac:dyDescent="0.3">
      <c r="A177" s="13"/>
      <c r="B177" s="133" t="s">
        <v>232</v>
      </c>
      <c r="C177" s="134"/>
      <c r="D177" s="134"/>
      <c r="E177" s="134"/>
      <c r="F177" s="134"/>
      <c r="G177" s="135"/>
      <c r="H177" s="136"/>
      <c r="I177" s="14"/>
      <c r="J177" s="36"/>
      <c r="K177" s="13"/>
      <c r="L177" s="133" t="s">
        <v>232</v>
      </c>
      <c r="M177" s="134"/>
      <c r="N177" s="134"/>
      <c r="O177" s="134"/>
      <c r="P177" s="134"/>
      <c r="Q177" s="135"/>
      <c r="R177" s="136"/>
      <c r="S177" s="14"/>
    </row>
    <row r="178" spans="1:19" ht="27.95" customHeight="1" thickBot="1" x14ac:dyDescent="0.3">
      <c r="A178" s="13"/>
      <c r="B178" s="84" t="s">
        <v>233</v>
      </c>
      <c r="C178" s="85"/>
      <c r="D178" s="85"/>
      <c r="E178" s="85"/>
      <c r="F178" s="85"/>
      <c r="G178" s="86">
        <f>1.25*12*F161</f>
        <v>38682</v>
      </c>
      <c r="H178" s="87"/>
      <c r="I178" s="92" t="s">
        <v>465</v>
      </c>
      <c r="J178" s="41"/>
      <c r="K178" s="13"/>
      <c r="L178" s="84" t="s">
        <v>233</v>
      </c>
      <c r="M178" s="85"/>
      <c r="N178" s="85"/>
      <c r="O178" s="85"/>
      <c r="P178" s="85"/>
      <c r="Q178" s="86">
        <f>1.12*12*P161</f>
        <v>97661.760000000009</v>
      </c>
      <c r="R178" s="87"/>
      <c r="S178" s="299" t="s">
        <v>469</v>
      </c>
    </row>
    <row r="179" spans="1:19" ht="26.45" customHeight="1" x14ac:dyDescent="0.25">
      <c r="A179" s="118"/>
      <c r="B179" s="121" t="s">
        <v>226</v>
      </c>
      <c r="C179" s="122"/>
      <c r="D179" s="122"/>
      <c r="E179" s="122"/>
      <c r="F179" s="122"/>
      <c r="G179" s="88"/>
      <c r="H179" s="89"/>
      <c r="I179" s="93"/>
      <c r="J179" s="41"/>
      <c r="K179" s="118"/>
      <c r="L179" s="121" t="s">
        <v>226</v>
      </c>
      <c r="M179" s="122"/>
      <c r="N179" s="122"/>
      <c r="O179" s="122"/>
      <c r="P179" s="122"/>
      <c r="Q179" s="88"/>
      <c r="R179" s="89"/>
      <c r="S179" s="300"/>
    </row>
    <row r="180" spans="1:19" ht="27" customHeight="1" x14ac:dyDescent="0.25">
      <c r="A180" s="119"/>
      <c r="B180" s="121" t="s">
        <v>227</v>
      </c>
      <c r="C180" s="122"/>
      <c r="D180" s="122"/>
      <c r="E180" s="122"/>
      <c r="F180" s="122"/>
      <c r="G180" s="88"/>
      <c r="H180" s="89"/>
      <c r="I180" s="93"/>
      <c r="J180" s="41"/>
      <c r="K180" s="119"/>
      <c r="L180" s="121" t="s">
        <v>227</v>
      </c>
      <c r="M180" s="122"/>
      <c r="N180" s="122"/>
      <c r="O180" s="122"/>
      <c r="P180" s="122"/>
      <c r="Q180" s="88"/>
      <c r="R180" s="89"/>
      <c r="S180" s="300"/>
    </row>
    <row r="181" spans="1:19" ht="20.45" customHeight="1" x14ac:dyDescent="0.25">
      <c r="A181" s="119"/>
      <c r="B181" s="121" t="s">
        <v>228</v>
      </c>
      <c r="C181" s="122"/>
      <c r="D181" s="122"/>
      <c r="E181" s="122"/>
      <c r="F181" s="122"/>
      <c r="G181" s="88"/>
      <c r="H181" s="89"/>
      <c r="I181" s="93"/>
      <c r="J181" s="41"/>
      <c r="K181" s="119"/>
      <c r="L181" s="121" t="s">
        <v>228</v>
      </c>
      <c r="M181" s="122"/>
      <c r="N181" s="122"/>
      <c r="O181" s="122"/>
      <c r="P181" s="122"/>
      <c r="Q181" s="88"/>
      <c r="R181" s="89"/>
      <c r="S181" s="300"/>
    </row>
    <row r="182" spans="1:19" ht="42" customHeight="1" thickBot="1" x14ac:dyDescent="0.3">
      <c r="A182" s="120"/>
      <c r="B182" s="123" t="s">
        <v>234</v>
      </c>
      <c r="C182" s="124"/>
      <c r="D182" s="124"/>
      <c r="E182" s="124"/>
      <c r="F182" s="124"/>
      <c r="G182" s="90"/>
      <c r="H182" s="91"/>
      <c r="I182" s="94"/>
      <c r="J182" s="42"/>
      <c r="K182" s="120"/>
      <c r="L182" s="123" t="s">
        <v>234</v>
      </c>
      <c r="M182" s="124"/>
      <c r="N182" s="124"/>
      <c r="O182" s="124"/>
      <c r="P182" s="124"/>
      <c r="Q182" s="90"/>
      <c r="R182" s="91"/>
      <c r="S182" s="301"/>
    </row>
    <row r="183" spans="1:19" ht="1.5" customHeight="1" thickBot="1" x14ac:dyDescent="0.3">
      <c r="A183" s="15"/>
      <c r="B183" s="137"/>
      <c r="C183" s="138"/>
      <c r="D183" s="138"/>
      <c r="E183" s="138"/>
      <c r="F183" s="138"/>
      <c r="G183" s="139"/>
      <c r="H183" s="140"/>
      <c r="I183" s="16"/>
      <c r="J183" s="43"/>
      <c r="K183" s="15"/>
      <c r="L183" s="137"/>
      <c r="M183" s="138"/>
      <c r="N183" s="138"/>
      <c r="O183" s="138"/>
      <c r="P183" s="138"/>
      <c r="Q183" s="139"/>
      <c r="R183" s="140"/>
      <c r="S183" s="16"/>
    </row>
    <row r="184" spans="1:19" ht="25.5" customHeight="1" thickBot="1" x14ac:dyDescent="0.3">
      <c r="A184" s="15"/>
      <c r="B184" s="137" t="s">
        <v>235</v>
      </c>
      <c r="C184" s="138"/>
      <c r="D184" s="138"/>
      <c r="E184" s="138"/>
      <c r="F184" s="138"/>
      <c r="G184" s="139"/>
      <c r="H184" s="140"/>
      <c r="I184" s="16"/>
      <c r="J184" s="44"/>
      <c r="K184" s="15"/>
      <c r="L184" s="137" t="s">
        <v>235</v>
      </c>
      <c r="M184" s="138"/>
      <c r="N184" s="138"/>
      <c r="O184" s="138"/>
      <c r="P184" s="138"/>
      <c r="Q184" s="139"/>
      <c r="R184" s="140"/>
      <c r="S184" s="16"/>
    </row>
    <row r="185" spans="1:19" ht="31.5" customHeight="1" thickBot="1" x14ac:dyDescent="0.3">
      <c r="A185" s="17"/>
      <c r="B185" s="78" t="s">
        <v>237</v>
      </c>
      <c r="C185" s="79"/>
      <c r="D185" s="79"/>
      <c r="E185" s="79"/>
      <c r="F185" s="79"/>
      <c r="G185" s="86">
        <f>0.12*F161*12</f>
        <v>3713.4720000000002</v>
      </c>
      <c r="H185" s="87"/>
      <c r="I185" s="108" t="s">
        <v>229</v>
      </c>
      <c r="J185" s="40"/>
      <c r="K185" s="17"/>
      <c r="L185" s="78" t="s">
        <v>237</v>
      </c>
      <c r="M185" s="79"/>
      <c r="N185" s="79"/>
      <c r="O185" s="79"/>
      <c r="P185" s="79"/>
      <c r="Q185" s="86">
        <f>17542+13044</f>
        <v>30586</v>
      </c>
      <c r="R185" s="87"/>
      <c r="S185" s="108" t="s">
        <v>229</v>
      </c>
    </row>
    <row r="186" spans="1:19" ht="15.75" thickBot="1" x14ac:dyDescent="0.3">
      <c r="A186" s="18"/>
      <c r="B186" s="110" t="s">
        <v>238</v>
      </c>
      <c r="C186" s="111"/>
      <c r="D186" s="111"/>
      <c r="E186" s="111"/>
      <c r="F186" s="111"/>
      <c r="G186" s="90"/>
      <c r="H186" s="91"/>
      <c r="I186" s="109"/>
      <c r="J186" s="45"/>
      <c r="K186" s="18"/>
      <c r="L186" s="110" t="s">
        <v>238</v>
      </c>
      <c r="M186" s="111"/>
      <c r="N186" s="111"/>
      <c r="O186" s="111"/>
      <c r="P186" s="111"/>
      <c r="Q186" s="90"/>
      <c r="R186" s="91"/>
      <c r="S186" s="109"/>
    </row>
    <row r="187" spans="1:19" ht="15.75" thickBot="1" x14ac:dyDescent="0.3">
      <c r="A187" s="19"/>
      <c r="B187" s="112" t="s">
        <v>239</v>
      </c>
      <c r="C187" s="113"/>
      <c r="D187" s="113"/>
      <c r="E187" s="113"/>
      <c r="F187" s="113"/>
      <c r="G187" s="114">
        <f>SUM(G166:H186)</f>
        <v>180041.50080000001</v>
      </c>
      <c r="H187" s="115"/>
      <c r="I187" s="20"/>
      <c r="J187" s="46"/>
      <c r="K187" s="19"/>
      <c r="L187" s="112" t="s">
        <v>239</v>
      </c>
      <c r="M187" s="113"/>
      <c r="N187" s="113"/>
      <c r="O187" s="113"/>
      <c r="P187" s="113"/>
      <c r="Q187" s="114">
        <f>SUM(Q166:R186)</f>
        <v>603885.97600000002</v>
      </c>
      <c r="R187" s="115"/>
      <c r="S187" s="20"/>
    </row>
    <row r="188" spans="1:19" ht="15.75" customHeight="1" thickBot="1" x14ac:dyDescent="0.3">
      <c r="A188" s="21"/>
      <c r="B188" s="101" t="s">
        <v>240</v>
      </c>
      <c r="C188" s="102"/>
      <c r="D188" s="102"/>
      <c r="E188" s="102"/>
      <c r="F188" s="102"/>
      <c r="G188" s="116">
        <f>G187*1.2</f>
        <v>216049.80095999999</v>
      </c>
      <c r="H188" s="117"/>
      <c r="I188" s="22"/>
      <c r="J188" s="47"/>
      <c r="K188" s="21"/>
      <c r="L188" s="101" t="s">
        <v>240</v>
      </c>
      <c r="M188" s="102"/>
      <c r="N188" s="102"/>
      <c r="O188" s="102"/>
      <c r="P188" s="102"/>
      <c r="Q188" s="116">
        <f>Q187*1.2</f>
        <v>724663.17119999998</v>
      </c>
      <c r="R188" s="117"/>
      <c r="S188" s="22"/>
    </row>
    <row r="189" spans="1:19" ht="15.75" customHeight="1" thickBot="1" x14ac:dyDescent="0.3">
      <c r="A189" s="24"/>
      <c r="B189" s="96" t="s">
        <v>443</v>
      </c>
      <c r="C189" s="97"/>
      <c r="D189" s="97"/>
      <c r="E189" s="97"/>
      <c r="F189" s="97"/>
      <c r="G189" s="295">
        <v>226220.58</v>
      </c>
      <c r="H189" s="296"/>
      <c r="I189" s="297"/>
      <c r="J189" s="47"/>
      <c r="K189" s="24"/>
      <c r="L189" s="96" t="s">
        <v>241</v>
      </c>
      <c r="M189" s="97"/>
      <c r="N189" s="97"/>
      <c r="O189" s="97"/>
      <c r="P189" s="97"/>
      <c r="Q189" s="295">
        <v>735604.11</v>
      </c>
      <c r="R189" s="296"/>
      <c r="S189" s="297"/>
    </row>
    <row r="190" spans="1:19" ht="15.75" customHeight="1" thickBot="1" x14ac:dyDescent="0.3">
      <c r="A190" s="19"/>
      <c r="B190" s="101" t="s">
        <v>242</v>
      </c>
      <c r="C190" s="102"/>
      <c r="D190" s="102"/>
      <c r="E190" s="102"/>
      <c r="F190" s="102"/>
      <c r="G190" s="116">
        <v>224380.58</v>
      </c>
      <c r="H190" s="298"/>
      <c r="I190" s="214"/>
      <c r="J190" s="47"/>
      <c r="K190" s="19"/>
      <c r="L190" s="101" t="s">
        <v>242</v>
      </c>
      <c r="M190" s="102"/>
      <c r="N190" s="102"/>
      <c r="O190" s="102"/>
      <c r="P190" s="102"/>
      <c r="Q190" s="116">
        <v>772943.83</v>
      </c>
      <c r="R190" s="298"/>
      <c r="S190" s="214"/>
    </row>
    <row r="191" spans="1:19" ht="15.75" thickBot="1" x14ac:dyDescent="0.3">
      <c r="A191" s="19"/>
      <c r="B191" s="106" t="s">
        <v>444</v>
      </c>
      <c r="C191" s="107"/>
      <c r="D191" s="107"/>
      <c r="E191" s="107"/>
      <c r="F191" s="107"/>
      <c r="G191" s="116">
        <v>36287.51</v>
      </c>
      <c r="H191" s="298"/>
      <c r="I191" s="214"/>
      <c r="J191" s="47"/>
      <c r="K191" s="19"/>
      <c r="L191" s="106" t="s">
        <v>243</v>
      </c>
      <c r="M191" s="107"/>
      <c r="N191" s="107"/>
      <c r="O191" s="107"/>
      <c r="P191" s="107"/>
      <c r="Q191" s="116">
        <v>139020.26999999999</v>
      </c>
      <c r="R191" s="298"/>
      <c r="S191" s="214"/>
    </row>
    <row r="192" spans="1:19" ht="35.1" customHeight="1" x14ac:dyDescent="0.25">
      <c r="A192" s="4"/>
      <c r="B192" s="195" t="s">
        <v>464</v>
      </c>
      <c r="C192" s="195"/>
      <c r="D192" s="195"/>
      <c r="E192" s="195"/>
      <c r="F192" s="195"/>
      <c r="G192" s="195"/>
      <c r="H192" s="195"/>
      <c r="I192" s="195"/>
      <c r="K192" s="4"/>
      <c r="L192" s="26"/>
      <c r="M192" s="26"/>
      <c r="N192" s="26"/>
      <c r="O192" s="26"/>
      <c r="P192" s="26"/>
      <c r="Q192" s="27"/>
      <c r="R192" s="3"/>
      <c r="S192" s="3"/>
    </row>
    <row r="193" spans="1:19" ht="15.75" customHeight="1" x14ac:dyDescent="0.25">
      <c r="E193" s="50"/>
      <c r="I193" s="5"/>
      <c r="O193" s="50"/>
      <c r="S193" s="5"/>
    </row>
    <row r="194" spans="1:19" ht="15.75" x14ac:dyDescent="0.25">
      <c r="A194" s="30"/>
      <c r="C194" s="30"/>
      <c r="K194" s="30"/>
      <c r="N194" s="30"/>
    </row>
    <row r="195" spans="1:19" ht="15.75" x14ac:dyDescent="0.25">
      <c r="A195" s="30"/>
      <c r="C195" s="30"/>
      <c r="K195" s="30"/>
      <c r="N195" s="30"/>
    </row>
    <row r="196" spans="1:19" x14ac:dyDescent="0.25">
      <c r="A196" s="3"/>
      <c r="B196" s="3"/>
      <c r="C196" s="3"/>
      <c r="D196" s="3"/>
      <c r="E196" s="4" t="s">
        <v>204</v>
      </c>
      <c r="F196" s="3"/>
      <c r="G196" s="3"/>
      <c r="H196" s="3"/>
      <c r="I196" s="3"/>
      <c r="K196" s="3"/>
      <c r="L196" s="3"/>
      <c r="M196" s="3"/>
      <c r="N196" s="3"/>
      <c r="O196" s="4" t="s">
        <v>204</v>
      </c>
      <c r="P196" s="3"/>
      <c r="Q196" s="3"/>
      <c r="R196" s="3"/>
      <c r="S196" s="3"/>
    </row>
    <row r="197" spans="1:19" x14ac:dyDescent="0.25">
      <c r="A197" s="3" t="s">
        <v>205</v>
      </c>
      <c r="B197" s="3"/>
      <c r="C197" s="3"/>
      <c r="D197" s="3" t="s">
        <v>259</v>
      </c>
      <c r="E197" s="3"/>
      <c r="F197" s="3"/>
      <c r="G197" s="3"/>
      <c r="H197" s="3"/>
      <c r="I197" s="3"/>
      <c r="K197" s="3" t="s">
        <v>205</v>
      </c>
      <c r="L197" s="3"/>
      <c r="M197" s="3"/>
      <c r="N197" s="3" t="s">
        <v>260</v>
      </c>
      <c r="O197" s="3"/>
      <c r="P197" s="3"/>
      <c r="Q197" s="3"/>
      <c r="R197" s="3"/>
      <c r="S197" s="3"/>
    </row>
    <row r="198" spans="1:19" x14ac:dyDescent="0.25">
      <c r="A198" s="3"/>
      <c r="B198" s="5" t="s">
        <v>440</v>
      </c>
      <c r="C198" s="3"/>
      <c r="D198" s="3"/>
      <c r="E198" s="3"/>
      <c r="F198" s="3"/>
      <c r="G198" s="3"/>
      <c r="H198" s="3"/>
      <c r="I198" s="3"/>
      <c r="K198" s="3"/>
      <c r="L198" s="5" t="s">
        <v>440</v>
      </c>
      <c r="M198" s="3"/>
      <c r="N198" s="3"/>
      <c r="O198" s="3"/>
      <c r="P198" s="3"/>
      <c r="Q198" s="3"/>
      <c r="R198" s="3"/>
      <c r="S198" s="3"/>
    </row>
    <row r="199" spans="1:19" x14ac:dyDescent="0.25">
      <c r="A199" s="3"/>
      <c r="B199" s="5" t="s">
        <v>206</v>
      </c>
      <c r="C199" s="3"/>
      <c r="D199" s="3"/>
      <c r="E199" s="3"/>
      <c r="F199" s="3">
        <f>'[1]Ж-2,3'!$O$9</f>
        <v>14731.1</v>
      </c>
      <c r="G199" s="3" t="s">
        <v>207</v>
      </c>
      <c r="H199" s="3"/>
      <c r="I199" s="3"/>
      <c r="K199" s="3"/>
      <c r="L199" s="5" t="s">
        <v>206</v>
      </c>
      <c r="M199" s="3"/>
      <c r="N199" s="3"/>
      <c r="O199" s="3"/>
      <c r="P199" s="3">
        <f>'[1]Ж-2,3'!$P$9</f>
        <v>7030</v>
      </c>
      <c r="Q199" s="3" t="s">
        <v>207</v>
      </c>
      <c r="R199" s="3"/>
      <c r="S199" s="3"/>
    </row>
    <row r="200" spans="1:19" ht="15.75" thickBot="1" x14ac:dyDescent="0.3">
      <c r="A200" s="3"/>
      <c r="B200" s="3"/>
      <c r="C200" s="3"/>
      <c r="D200" s="4"/>
      <c r="E200" s="4"/>
      <c r="F200" s="3"/>
      <c r="G200" s="3"/>
      <c r="H200" s="3"/>
      <c r="I200" s="3"/>
      <c r="J200" s="3"/>
      <c r="K200" s="3"/>
      <c r="L200" s="3"/>
      <c r="M200" s="3"/>
      <c r="N200" s="4"/>
      <c r="O200" s="4"/>
      <c r="P200" s="3"/>
      <c r="Q200" s="3"/>
      <c r="R200" s="3"/>
      <c r="S200" s="3"/>
    </row>
    <row r="201" spans="1:19" ht="15" customHeight="1" x14ac:dyDescent="0.25">
      <c r="A201" s="175" t="s">
        <v>209</v>
      </c>
      <c r="B201" s="177" t="s">
        <v>210</v>
      </c>
      <c r="C201" s="178"/>
      <c r="D201" s="178"/>
      <c r="E201" s="178"/>
      <c r="F201" s="178"/>
      <c r="G201" s="180" t="s">
        <v>441</v>
      </c>
      <c r="H201" s="181"/>
      <c r="I201" s="175" t="s">
        <v>212</v>
      </c>
      <c r="J201" s="3"/>
      <c r="K201" s="175" t="s">
        <v>209</v>
      </c>
      <c r="L201" s="177" t="s">
        <v>210</v>
      </c>
      <c r="M201" s="178"/>
      <c r="N201" s="178"/>
      <c r="O201" s="178"/>
      <c r="P201" s="178"/>
      <c r="Q201" s="180" t="s">
        <v>441</v>
      </c>
      <c r="R201" s="181"/>
      <c r="S201" s="175" t="s">
        <v>212</v>
      </c>
    </row>
    <row r="202" spans="1:19" ht="76.5" customHeight="1" thickBot="1" x14ac:dyDescent="0.3">
      <c r="A202" s="176"/>
      <c r="B202" s="179"/>
      <c r="C202" s="179"/>
      <c r="D202" s="179"/>
      <c r="E202" s="179"/>
      <c r="F202" s="179"/>
      <c r="G202" s="182"/>
      <c r="H202" s="183"/>
      <c r="I202" s="184"/>
      <c r="J202" s="3"/>
      <c r="K202" s="176"/>
      <c r="L202" s="179"/>
      <c r="M202" s="179"/>
      <c r="N202" s="179"/>
      <c r="O202" s="179"/>
      <c r="P202" s="179"/>
      <c r="Q202" s="182"/>
      <c r="R202" s="183"/>
      <c r="S202" s="184"/>
    </row>
    <row r="203" spans="1:19" ht="15" customHeight="1" x14ac:dyDescent="0.25">
      <c r="A203" s="185" t="s">
        <v>213</v>
      </c>
      <c r="B203" s="187" t="s">
        <v>354</v>
      </c>
      <c r="C203" s="188"/>
      <c r="D203" s="188"/>
      <c r="E203" s="188"/>
      <c r="F203" s="188"/>
      <c r="G203" s="190">
        <v>263688.31</v>
      </c>
      <c r="H203" s="191"/>
      <c r="I203" s="192"/>
      <c r="J203" s="51"/>
      <c r="K203" s="185" t="s">
        <v>213</v>
      </c>
      <c r="L203" s="187" t="s">
        <v>354</v>
      </c>
      <c r="M203" s="188"/>
      <c r="N203" s="188"/>
      <c r="O203" s="188"/>
      <c r="P203" s="188"/>
      <c r="Q203" s="190">
        <v>99163.53</v>
      </c>
      <c r="R203" s="191"/>
      <c r="S203" s="192"/>
    </row>
    <row r="204" spans="1:19" ht="8.25" customHeight="1" thickBot="1" x14ac:dyDescent="0.3">
      <c r="A204" s="186"/>
      <c r="B204" s="189"/>
      <c r="C204" s="189"/>
      <c r="D204" s="189"/>
      <c r="E204" s="189"/>
      <c r="F204" s="189"/>
      <c r="G204" s="193"/>
      <c r="H204" s="194"/>
      <c r="I204" s="128"/>
      <c r="J204" s="52"/>
      <c r="K204" s="186"/>
      <c r="L204" s="189"/>
      <c r="M204" s="189"/>
      <c r="N204" s="189"/>
      <c r="O204" s="189"/>
      <c r="P204" s="189"/>
      <c r="Q204" s="193"/>
      <c r="R204" s="194"/>
      <c r="S204" s="128"/>
    </row>
    <row r="205" spans="1:19" ht="15" customHeight="1" x14ac:dyDescent="0.25">
      <c r="A205" s="6"/>
      <c r="B205" s="161" t="s">
        <v>214</v>
      </c>
      <c r="C205" s="162"/>
      <c r="D205" s="162"/>
      <c r="E205" s="162"/>
      <c r="F205" s="162"/>
      <c r="G205" s="163">
        <f>1.65*12*F199</f>
        <v>291675.77999999997</v>
      </c>
      <c r="H205" s="164"/>
      <c r="I205" s="169" t="s">
        <v>215</v>
      </c>
      <c r="J205" s="63"/>
      <c r="K205" s="6"/>
      <c r="L205" s="161" t="s">
        <v>214</v>
      </c>
      <c r="M205" s="162"/>
      <c r="N205" s="162"/>
      <c r="O205" s="162"/>
      <c r="P205" s="162"/>
      <c r="Q205" s="163">
        <f>1.85*12*P199</f>
        <v>156066.00000000003</v>
      </c>
      <c r="R205" s="164"/>
      <c r="S205" s="169" t="s">
        <v>215</v>
      </c>
    </row>
    <row r="206" spans="1:19" ht="13.5" customHeight="1" thickBot="1" x14ac:dyDescent="0.3">
      <c r="A206" s="7"/>
      <c r="B206" s="171" t="s">
        <v>216</v>
      </c>
      <c r="C206" s="172"/>
      <c r="D206" s="172"/>
      <c r="E206" s="172"/>
      <c r="F206" s="172"/>
      <c r="G206" s="165"/>
      <c r="H206" s="166"/>
      <c r="I206" s="170"/>
      <c r="J206" s="43"/>
      <c r="K206" s="7"/>
      <c r="L206" s="171" t="s">
        <v>216</v>
      </c>
      <c r="M206" s="172"/>
      <c r="N206" s="172"/>
      <c r="O206" s="172"/>
      <c r="P206" s="172"/>
      <c r="Q206" s="165"/>
      <c r="R206" s="166"/>
      <c r="S206" s="170"/>
    </row>
    <row r="207" spans="1:19" ht="13.5" customHeight="1" thickBot="1" x14ac:dyDescent="0.3">
      <c r="A207" s="7"/>
      <c r="B207" s="173" t="s">
        <v>217</v>
      </c>
      <c r="C207" s="174"/>
      <c r="D207" s="174"/>
      <c r="E207" s="174"/>
      <c r="F207" s="174"/>
      <c r="G207" s="167"/>
      <c r="H207" s="168"/>
      <c r="I207" s="8" t="s">
        <v>218</v>
      </c>
      <c r="J207" s="42"/>
      <c r="K207" s="7"/>
      <c r="L207" s="173" t="s">
        <v>217</v>
      </c>
      <c r="M207" s="174"/>
      <c r="N207" s="174"/>
      <c r="O207" s="174"/>
      <c r="P207" s="174"/>
      <c r="Q207" s="167"/>
      <c r="R207" s="168"/>
      <c r="S207" s="8" t="s">
        <v>218</v>
      </c>
    </row>
    <row r="208" spans="1:19" ht="16.5" customHeight="1" thickBot="1" x14ac:dyDescent="0.3">
      <c r="A208" s="7"/>
      <c r="B208" s="141" t="s">
        <v>219</v>
      </c>
      <c r="C208" s="142"/>
      <c r="D208" s="142"/>
      <c r="E208" s="142"/>
      <c r="F208" s="142"/>
      <c r="G208" s="143">
        <f>1748.85*7*12</f>
        <v>146903.4</v>
      </c>
      <c r="H208" s="144"/>
      <c r="I208" s="8" t="s">
        <v>220</v>
      </c>
      <c r="J208" s="43"/>
      <c r="K208" s="7"/>
      <c r="L208" s="141" t="s">
        <v>219</v>
      </c>
      <c r="M208" s="142"/>
      <c r="N208" s="142"/>
      <c r="O208" s="142"/>
      <c r="P208" s="142"/>
      <c r="Q208" s="143">
        <f>1748.85*12*3</f>
        <v>62958.599999999991</v>
      </c>
      <c r="R208" s="144"/>
      <c r="S208" s="8" t="s">
        <v>220</v>
      </c>
    </row>
    <row r="209" spans="1:19" ht="16.5" customHeight="1" thickBot="1" x14ac:dyDescent="0.3">
      <c r="A209" s="7"/>
      <c r="B209" s="141" t="s">
        <v>221</v>
      </c>
      <c r="C209" s="142"/>
      <c r="D209" s="142"/>
      <c r="E209" s="142"/>
      <c r="F209" s="142"/>
      <c r="G209" s="143">
        <f>0.474*F199*12</f>
        <v>83790.496799999994</v>
      </c>
      <c r="H209" s="144"/>
      <c r="I209" s="8" t="s">
        <v>222</v>
      </c>
      <c r="J209" s="55"/>
      <c r="K209" s="7"/>
      <c r="L209" s="141" t="s">
        <v>221</v>
      </c>
      <c r="M209" s="142"/>
      <c r="N209" s="142"/>
      <c r="O209" s="142"/>
      <c r="P209" s="142"/>
      <c r="Q209" s="143">
        <f>0.474*P199*12</f>
        <v>39986.639999999999</v>
      </c>
      <c r="R209" s="144"/>
      <c r="S209" s="8" t="s">
        <v>222</v>
      </c>
    </row>
    <row r="210" spans="1:19" ht="13.5" customHeight="1" x14ac:dyDescent="0.25">
      <c r="A210" s="9"/>
      <c r="B210" s="145" t="s">
        <v>223</v>
      </c>
      <c r="C210" s="146"/>
      <c r="D210" s="146"/>
      <c r="E210" s="146"/>
      <c r="F210" s="146"/>
      <c r="G210" s="86">
        <f>1.82*12*F199</f>
        <v>321727.22399999999</v>
      </c>
      <c r="H210" s="147"/>
      <c r="I210" s="152" t="s">
        <v>224</v>
      </c>
      <c r="J210" s="56"/>
      <c r="K210" s="9"/>
      <c r="L210" s="145" t="s">
        <v>223</v>
      </c>
      <c r="M210" s="146"/>
      <c r="N210" s="146"/>
      <c r="O210" s="146"/>
      <c r="P210" s="146"/>
      <c r="Q210" s="86">
        <f>1.94*12*P199</f>
        <v>163658.4</v>
      </c>
      <c r="R210" s="147"/>
      <c r="S210" s="152" t="s">
        <v>224</v>
      </c>
    </row>
    <row r="211" spans="1:19" ht="13.5" customHeight="1" x14ac:dyDescent="0.25">
      <c r="A211" s="10"/>
      <c r="B211" s="155" t="s">
        <v>226</v>
      </c>
      <c r="C211" s="156"/>
      <c r="D211" s="156"/>
      <c r="E211" s="156"/>
      <c r="F211" s="156"/>
      <c r="G211" s="148"/>
      <c r="H211" s="149"/>
      <c r="I211" s="153"/>
      <c r="J211" s="56"/>
      <c r="K211" s="10"/>
      <c r="L211" s="155" t="s">
        <v>226</v>
      </c>
      <c r="M211" s="156"/>
      <c r="N211" s="156"/>
      <c r="O211" s="156"/>
      <c r="P211" s="156"/>
      <c r="Q211" s="148"/>
      <c r="R211" s="149"/>
      <c r="S211" s="153"/>
    </row>
    <row r="212" spans="1:19" ht="13.5" customHeight="1" thickBot="1" x14ac:dyDescent="0.3">
      <c r="A212" s="10"/>
      <c r="B212" s="157" t="s">
        <v>227</v>
      </c>
      <c r="C212" s="158"/>
      <c r="D212" s="158"/>
      <c r="E212" s="158"/>
      <c r="F212" s="158"/>
      <c r="G212" s="148"/>
      <c r="H212" s="149"/>
      <c r="I212" s="154"/>
      <c r="J212" s="56"/>
      <c r="K212" s="10"/>
      <c r="L212" s="157" t="s">
        <v>227</v>
      </c>
      <c r="M212" s="158"/>
      <c r="N212" s="158"/>
      <c r="O212" s="158"/>
      <c r="P212" s="158"/>
      <c r="Q212" s="148"/>
      <c r="R212" s="149"/>
      <c r="S212" s="154"/>
    </row>
    <row r="213" spans="1:19" ht="13.5" customHeight="1" thickBot="1" x14ac:dyDescent="0.3">
      <c r="A213" s="10"/>
      <c r="B213" s="159" t="s">
        <v>228</v>
      </c>
      <c r="C213" s="160"/>
      <c r="D213" s="160"/>
      <c r="E213" s="160"/>
      <c r="F213" s="160"/>
      <c r="G213" s="150"/>
      <c r="H213" s="151"/>
      <c r="I213" s="11" t="s">
        <v>229</v>
      </c>
      <c r="J213" s="57"/>
      <c r="K213" s="10"/>
      <c r="L213" s="159" t="s">
        <v>228</v>
      </c>
      <c r="M213" s="160"/>
      <c r="N213" s="160"/>
      <c r="O213" s="160"/>
      <c r="P213" s="160"/>
      <c r="Q213" s="150"/>
      <c r="R213" s="151"/>
      <c r="S213" s="11" t="s">
        <v>229</v>
      </c>
    </row>
    <row r="214" spans="1:19" ht="13.5" customHeight="1" x14ac:dyDescent="0.25">
      <c r="A214" s="12"/>
      <c r="B214" s="125" t="s">
        <v>230</v>
      </c>
      <c r="C214" s="126"/>
      <c r="D214" s="126"/>
      <c r="E214" s="126"/>
      <c r="F214" s="126"/>
      <c r="G214" s="86">
        <f>0.048*12*F199</f>
        <v>8485.1136000000006</v>
      </c>
      <c r="H214" s="87"/>
      <c r="I214" s="129" t="s">
        <v>220</v>
      </c>
      <c r="J214" s="43"/>
      <c r="K214" s="12"/>
      <c r="L214" s="125" t="s">
        <v>230</v>
      </c>
      <c r="M214" s="126"/>
      <c r="N214" s="126"/>
      <c r="O214" s="126"/>
      <c r="P214" s="126"/>
      <c r="Q214" s="86">
        <f>0.048*12*P199</f>
        <v>4049.2800000000007</v>
      </c>
      <c r="R214" s="87"/>
      <c r="S214" s="129" t="s">
        <v>220</v>
      </c>
    </row>
    <row r="215" spans="1:19" ht="13.5" customHeight="1" thickBot="1" x14ac:dyDescent="0.3">
      <c r="A215" s="7"/>
      <c r="B215" s="131" t="s">
        <v>231</v>
      </c>
      <c r="C215" s="132"/>
      <c r="D215" s="132"/>
      <c r="E215" s="132"/>
      <c r="F215" s="132"/>
      <c r="G215" s="127"/>
      <c r="H215" s="128"/>
      <c r="I215" s="130"/>
      <c r="J215" s="43"/>
      <c r="K215" s="7"/>
      <c r="L215" s="131" t="s">
        <v>231</v>
      </c>
      <c r="M215" s="132"/>
      <c r="N215" s="132"/>
      <c r="O215" s="132"/>
      <c r="P215" s="132"/>
      <c r="Q215" s="127"/>
      <c r="R215" s="128"/>
      <c r="S215" s="130"/>
    </row>
    <row r="216" spans="1:19" ht="15.75" customHeight="1" thickBot="1" x14ac:dyDescent="0.3">
      <c r="A216" s="13"/>
      <c r="B216" s="133" t="s">
        <v>232</v>
      </c>
      <c r="C216" s="134"/>
      <c r="D216" s="134"/>
      <c r="E216" s="134"/>
      <c r="F216" s="134"/>
      <c r="G216" s="135"/>
      <c r="H216" s="136"/>
      <c r="I216" s="14"/>
      <c r="J216" s="43"/>
      <c r="K216" s="13"/>
      <c r="L216" s="133" t="s">
        <v>232</v>
      </c>
      <c r="M216" s="134"/>
      <c r="N216" s="134"/>
      <c r="O216" s="134"/>
      <c r="P216" s="134"/>
      <c r="Q216" s="135"/>
      <c r="R216" s="136"/>
      <c r="S216" s="14"/>
    </row>
    <row r="217" spans="1:19" ht="34.5" customHeight="1" thickBot="1" x14ac:dyDescent="0.3">
      <c r="A217" s="13"/>
      <c r="B217" s="84" t="s">
        <v>233</v>
      </c>
      <c r="C217" s="85"/>
      <c r="D217" s="85"/>
      <c r="E217" s="85"/>
      <c r="F217" s="85"/>
      <c r="G217" s="86">
        <f>0.99*12*F199</f>
        <v>175005.46799999999</v>
      </c>
      <c r="H217" s="87"/>
      <c r="I217" s="92" t="s">
        <v>471</v>
      </c>
      <c r="J217" s="58"/>
      <c r="K217" s="13"/>
      <c r="L217" s="84" t="s">
        <v>233</v>
      </c>
      <c r="M217" s="85"/>
      <c r="N217" s="85"/>
      <c r="O217" s="85"/>
      <c r="P217" s="85"/>
      <c r="Q217" s="86">
        <f>1.22*12*P199</f>
        <v>102919.2</v>
      </c>
      <c r="R217" s="87"/>
      <c r="S217" s="92" t="s">
        <v>472</v>
      </c>
    </row>
    <row r="218" spans="1:19" ht="39" customHeight="1" x14ac:dyDescent="0.25">
      <c r="A218" s="118"/>
      <c r="B218" s="121" t="s">
        <v>226</v>
      </c>
      <c r="C218" s="122"/>
      <c r="D218" s="122"/>
      <c r="E218" s="122"/>
      <c r="F218" s="122"/>
      <c r="G218" s="88"/>
      <c r="H218" s="89"/>
      <c r="I218" s="93"/>
      <c r="J218" s="41"/>
      <c r="K218" s="118"/>
      <c r="L218" s="121" t="s">
        <v>226</v>
      </c>
      <c r="M218" s="122"/>
      <c r="N218" s="122"/>
      <c r="O218" s="122"/>
      <c r="P218" s="122"/>
      <c r="Q218" s="88"/>
      <c r="R218" s="89"/>
      <c r="S218" s="93"/>
    </row>
    <row r="219" spans="1:19" ht="39.75" customHeight="1" x14ac:dyDescent="0.25">
      <c r="A219" s="119"/>
      <c r="B219" s="121" t="s">
        <v>227</v>
      </c>
      <c r="C219" s="122"/>
      <c r="D219" s="122"/>
      <c r="E219" s="122"/>
      <c r="F219" s="122"/>
      <c r="G219" s="88"/>
      <c r="H219" s="89"/>
      <c r="I219" s="93"/>
      <c r="J219" s="41"/>
      <c r="K219" s="119"/>
      <c r="L219" s="121" t="s">
        <v>227</v>
      </c>
      <c r="M219" s="122"/>
      <c r="N219" s="122"/>
      <c r="O219" s="122"/>
      <c r="P219" s="122"/>
      <c r="Q219" s="88"/>
      <c r="R219" s="89"/>
      <c r="S219" s="93"/>
    </row>
    <row r="220" spans="1:19" ht="37.5" customHeight="1" x14ac:dyDescent="0.25">
      <c r="A220" s="119"/>
      <c r="B220" s="121" t="s">
        <v>228</v>
      </c>
      <c r="C220" s="122"/>
      <c r="D220" s="122"/>
      <c r="E220" s="122"/>
      <c r="F220" s="122"/>
      <c r="G220" s="88"/>
      <c r="H220" s="89"/>
      <c r="I220" s="93"/>
      <c r="J220" s="41"/>
      <c r="K220" s="119"/>
      <c r="L220" s="121" t="s">
        <v>228</v>
      </c>
      <c r="M220" s="122"/>
      <c r="N220" s="122"/>
      <c r="O220" s="122"/>
      <c r="P220" s="122"/>
      <c r="Q220" s="88"/>
      <c r="R220" s="89"/>
      <c r="S220" s="93"/>
    </row>
    <row r="221" spans="1:19" ht="55.5" customHeight="1" thickBot="1" x14ac:dyDescent="0.3">
      <c r="A221" s="120"/>
      <c r="B221" s="123" t="s">
        <v>234</v>
      </c>
      <c r="C221" s="124"/>
      <c r="D221" s="124"/>
      <c r="E221" s="124"/>
      <c r="F221" s="124"/>
      <c r="G221" s="90"/>
      <c r="H221" s="91"/>
      <c r="I221" s="94"/>
      <c r="J221" s="41"/>
      <c r="K221" s="120"/>
      <c r="L221" s="123" t="s">
        <v>234</v>
      </c>
      <c r="M221" s="124"/>
      <c r="N221" s="124"/>
      <c r="O221" s="124"/>
      <c r="P221" s="124"/>
      <c r="Q221" s="90"/>
      <c r="R221" s="91"/>
      <c r="S221" s="94"/>
    </row>
    <row r="222" spans="1:19" ht="8.25" hidden="1" customHeight="1" x14ac:dyDescent="0.25">
      <c r="A222" s="15"/>
      <c r="B222" s="137"/>
      <c r="C222" s="138"/>
      <c r="D222" s="138"/>
      <c r="E222" s="138"/>
      <c r="F222" s="138"/>
      <c r="G222" s="139"/>
      <c r="H222" s="140"/>
      <c r="I222" s="16"/>
      <c r="J222" s="42"/>
      <c r="K222" s="15"/>
      <c r="L222" s="137"/>
      <c r="M222" s="138"/>
      <c r="N222" s="138"/>
      <c r="O222" s="138"/>
      <c r="P222" s="138"/>
      <c r="Q222" s="139"/>
      <c r="R222" s="140"/>
      <c r="S222" s="16"/>
    </row>
    <row r="223" spans="1:19" ht="26.25" hidden="1" customHeight="1" x14ac:dyDescent="0.25">
      <c r="A223" s="15"/>
      <c r="B223" s="137" t="s">
        <v>235</v>
      </c>
      <c r="C223" s="138"/>
      <c r="D223" s="138"/>
      <c r="E223" s="138"/>
      <c r="F223" s="138"/>
      <c r="G223" s="139"/>
      <c r="H223" s="140"/>
      <c r="I223" s="16"/>
      <c r="J223" s="43"/>
      <c r="K223" s="15"/>
      <c r="L223" s="137" t="s">
        <v>235</v>
      </c>
      <c r="M223" s="138"/>
      <c r="N223" s="138"/>
      <c r="O223" s="138"/>
      <c r="P223" s="138"/>
      <c r="Q223" s="139"/>
      <c r="R223" s="140"/>
      <c r="S223" s="16"/>
    </row>
    <row r="224" spans="1:19" ht="33" customHeight="1" thickBot="1" x14ac:dyDescent="0.3">
      <c r="A224" s="17"/>
      <c r="B224" s="78" t="s">
        <v>237</v>
      </c>
      <c r="C224" s="79"/>
      <c r="D224" s="79"/>
      <c r="E224" s="79"/>
      <c r="F224" s="79"/>
      <c r="G224" s="86">
        <f>35013+6311</f>
        <v>41324</v>
      </c>
      <c r="H224" s="87"/>
      <c r="I224" s="108" t="s">
        <v>229</v>
      </c>
      <c r="J224" s="59"/>
      <c r="K224" s="17"/>
      <c r="L224" s="78" t="s">
        <v>237</v>
      </c>
      <c r="M224" s="79"/>
      <c r="N224" s="79"/>
      <c r="O224" s="79"/>
      <c r="P224" s="79"/>
      <c r="Q224" s="86">
        <f>11617+3934</f>
        <v>15551</v>
      </c>
      <c r="R224" s="87"/>
      <c r="S224" s="108" t="s">
        <v>229</v>
      </c>
    </row>
    <row r="225" spans="1:19" ht="15.75" customHeight="1" thickBot="1" x14ac:dyDescent="0.3">
      <c r="A225" s="18"/>
      <c r="B225" s="110" t="s">
        <v>238</v>
      </c>
      <c r="C225" s="111"/>
      <c r="D225" s="111"/>
      <c r="E225" s="111"/>
      <c r="F225" s="111"/>
      <c r="G225" s="90"/>
      <c r="H225" s="91"/>
      <c r="I225" s="109"/>
      <c r="J225" s="59"/>
      <c r="K225" s="18"/>
      <c r="L225" s="110" t="s">
        <v>238</v>
      </c>
      <c r="M225" s="111"/>
      <c r="N225" s="111"/>
      <c r="O225" s="111"/>
      <c r="P225" s="111"/>
      <c r="Q225" s="90"/>
      <c r="R225" s="91"/>
      <c r="S225" s="109"/>
    </row>
    <row r="226" spans="1:19" ht="13.5" customHeight="1" thickBot="1" x14ac:dyDescent="0.3">
      <c r="A226" s="19"/>
      <c r="B226" s="112" t="s">
        <v>239</v>
      </c>
      <c r="C226" s="113"/>
      <c r="D226" s="113"/>
      <c r="E226" s="113"/>
      <c r="F226" s="113"/>
      <c r="G226" s="114">
        <f>SUM(G205:H225)</f>
        <v>1068911.4824000001</v>
      </c>
      <c r="H226" s="115"/>
      <c r="I226" s="20"/>
      <c r="J226" s="58"/>
      <c r="K226" s="19"/>
      <c r="L226" s="112" t="s">
        <v>239</v>
      </c>
      <c r="M226" s="113"/>
      <c r="N226" s="113"/>
      <c r="O226" s="113"/>
      <c r="P226" s="113"/>
      <c r="Q226" s="114">
        <f>SUM(Q205:R225)</f>
        <v>545189.12</v>
      </c>
      <c r="R226" s="115"/>
      <c r="S226" s="20"/>
    </row>
    <row r="227" spans="1:19" ht="15.75" thickBot="1" x14ac:dyDescent="0.3">
      <c r="A227" s="21"/>
      <c r="B227" s="101" t="s">
        <v>240</v>
      </c>
      <c r="C227" s="102"/>
      <c r="D227" s="102"/>
      <c r="E227" s="102"/>
      <c r="F227" s="102"/>
      <c r="G227" s="116">
        <f>G226*1.2</f>
        <v>1282693.7788800001</v>
      </c>
      <c r="H227" s="117"/>
      <c r="I227" s="22"/>
      <c r="J227" s="45"/>
      <c r="K227" s="21"/>
      <c r="L227" s="101" t="s">
        <v>240</v>
      </c>
      <c r="M227" s="102"/>
      <c r="N227" s="102"/>
      <c r="O227" s="102"/>
      <c r="P227" s="102"/>
      <c r="Q227" s="116">
        <f>Q226*1.2</f>
        <v>654226.94400000002</v>
      </c>
      <c r="R227" s="117"/>
      <c r="S227" s="22"/>
    </row>
    <row r="228" spans="1:19" ht="15.75" customHeight="1" thickBot="1" x14ac:dyDescent="0.3">
      <c r="A228" s="24"/>
      <c r="B228" s="96" t="s">
        <v>443</v>
      </c>
      <c r="C228" s="97"/>
      <c r="D228" s="97"/>
      <c r="E228" s="97"/>
      <c r="F228" s="97"/>
      <c r="G228" s="295">
        <v>1322914.99</v>
      </c>
      <c r="H228" s="296"/>
      <c r="I228" s="297"/>
      <c r="J228" s="41"/>
      <c r="K228" s="24"/>
      <c r="L228" s="96" t="s">
        <v>443</v>
      </c>
      <c r="M228" s="97"/>
      <c r="N228" s="97"/>
      <c r="O228" s="97"/>
      <c r="P228" s="97"/>
      <c r="Q228" s="295">
        <v>648271.69999999995</v>
      </c>
      <c r="R228" s="296"/>
      <c r="S228" s="297"/>
    </row>
    <row r="229" spans="1:19" ht="15.75" thickBot="1" x14ac:dyDescent="0.3">
      <c r="A229" s="19"/>
      <c r="B229" s="101" t="s">
        <v>242</v>
      </c>
      <c r="C229" s="102"/>
      <c r="D229" s="102"/>
      <c r="E229" s="102"/>
      <c r="F229" s="102"/>
      <c r="G229" s="116">
        <v>1315809.8700000001</v>
      </c>
      <c r="H229" s="298"/>
      <c r="I229" s="214"/>
      <c r="J229" s="41"/>
      <c r="K229" s="19"/>
      <c r="L229" s="101" t="s">
        <v>242</v>
      </c>
      <c r="M229" s="102"/>
      <c r="N229" s="102"/>
      <c r="O229" s="102"/>
      <c r="P229" s="102"/>
      <c r="Q229" s="116">
        <v>661876.69999999995</v>
      </c>
      <c r="R229" s="298"/>
      <c r="S229" s="214"/>
    </row>
    <row r="230" spans="1:19" ht="15.75" customHeight="1" thickBot="1" x14ac:dyDescent="0.3">
      <c r="A230" s="19"/>
      <c r="B230" s="106" t="s">
        <v>444</v>
      </c>
      <c r="C230" s="107"/>
      <c r="D230" s="107"/>
      <c r="E230" s="107"/>
      <c r="F230" s="107"/>
      <c r="G230" s="116">
        <v>270793.43</v>
      </c>
      <c r="H230" s="298"/>
      <c r="I230" s="214"/>
      <c r="J230" s="64"/>
      <c r="K230" s="19"/>
      <c r="L230" s="106" t="s">
        <v>444</v>
      </c>
      <c r="M230" s="107"/>
      <c r="N230" s="107"/>
      <c r="O230" s="107"/>
      <c r="P230" s="107"/>
      <c r="Q230" s="116">
        <v>85557.96</v>
      </c>
      <c r="R230" s="298"/>
      <c r="S230" s="214"/>
    </row>
    <row r="231" spans="1:19" ht="33" customHeight="1" x14ac:dyDescent="0.25">
      <c r="A231" s="4"/>
      <c r="B231" s="302" t="s">
        <v>470</v>
      </c>
      <c r="C231" s="162"/>
      <c r="D231" s="162"/>
      <c r="E231" s="162"/>
      <c r="F231" s="162"/>
      <c r="G231" s="162"/>
      <c r="H231" s="162"/>
      <c r="I231" s="162"/>
      <c r="K231" s="4"/>
      <c r="L231" s="26"/>
      <c r="M231" s="26"/>
      <c r="N231" s="26"/>
      <c r="O231" s="26"/>
      <c r="P231" s="26"/>
      <c r="Q231" s="27"/>
      <c r="R231" s="3"/>
      <c r="S231" s="3"/>
    </row>
    <row r="232" spans="1:19" ht="27" customHeight="1" x14ac:dyDescent="0.25">
      <c r="B232" s="303"/>
      <c r="C232" s="303"/>
      <c r="D232" s="303"/>
      <c r="E232" s="303"/>
      <c r="F232" s="303"/>
      <c r="G232" s="303"/>
      <c r="H232" s="303"/>
      <c r="I232" s="303"/>
      <c r="O232" s="50"/>
      <c r="S232" s="5"/>
    </row>
    <row r="233" spans="1:19" ht="15.75" customHeight="1" thickBot="1" x14ac:dyDescent="0.3">
      <c r="A233" s="3"/>
      <c r="I233" s="5"/>
      <c r="J233" s="61"/>
      <c r="K233" s="3"/>
      <c r="S233" s="5"/>
    </row>
    <row r="234" spans="1:19" ht="15.75" x14ac:dyDescent="0.25">
      <c r="A234" s="3"/>
      <c r="C234" s="30"/>
      <c r="K234" s="3"/>
      <c r="M234" s="30"/>
    </row>
    <row r="235" spans="1:19" ht="15.75" x14ac:dyDescent="0.25">
      <c r="A235" s="30"/>
      <c r="C235" s="30"/>
      <c r="K235" s="30"/>
      <c r="M235" s="30"/>
    </row>
    <row r="236" spans="1:19" ht="15.75" x14ac:dyDescent="0.25">
      <c r="A236" s="3"/>
      <c r="B236" s="3"/>
      <c r="C236" s="3"/>
      <c r="D236" s="3"/>
      <c r="E236" s="4" t="s">
        <v>204</v>
      </c>
      <c r="F236" s="3"/>
      <c r="G236" s="3"/>
      <c r="H236" s="3"/>
      <c r="I236" s="3"/>
      <c r="M236" s="30"/>
    </row>
    <row r="237" spans="1:19" x14ac:dyDescent="0.25">
      <c r="A237" s="3" t="s">
        <v>205</v>
      </c>
      <c r="B237" s="3"/>
      <c r="C237" s="3"/>
      <c r="D237" s="3" t="s">
        <v>261</v>
      </c>
      <c r="E237" s="3"/>
      <c r="F237" s="3"/>
      <c r="G237" s="3"/>
      <c r="H237" s="3"/>
      <c r="I237" s="3"/>
      <c r="K237" s="3"/>
      <c r="L237" s="3"/>
      <c r="M237" s="3"/>
      <c r="N237" s="3"/>
      <c r="O237" s="3"/>
      <c r="P237" s="3"/>
      <c r="Q237" s="3"/>
      <c r="R237" s="3"/>
      <c r="S237" s="3"/>
    </row>
    <row r="238" spans="1:19" x14ac:dyDescent="0.25">
      <c r="A238" s="3"/>
      <c r="B238" s="5" t="s">
        <v>440</v>
      </c>
      <c r="C238" s="3"/>
      <c r="D238" s="3"/>
      <c r="E238" s="3"/>
      <c r="F238" s="3"/>
      <c r="G238" s="3"/>
      <c r="H238" s="3"/>
      <c r="I238" s="3"/>
      <c r="K238" s="3"/>
      <c r="L238" s="3"/>
      <c r="M238" s="3"/>
      <c r="N238" s="3"/>
      <c r="O238" s="3"/>
      <c r="P238" s="3"/>
      <c r="Q238" s="3"/>
      <c r="R238" s="3"/>
      <c r="S238" s="3"/>
    </row>
    <row r="239" spans="1:19" x14ac:dyDescent="0.25">
      <c r="A239" s="3"/>
      <c r="B239" s="5" t="s">
        <v>206</v>
      </c>
      <c r="C239" s="3"/>
      <c r="D239" s="3"/>
      <c r="E239" s="3"/>
      <c r="F239" s="3">
        <f>'[1]Ж-2'!$Q$9</f>
        <v>7726.2</v>
      </c>
      <c r="G239" s="3" t="s">
        <v>207</v>
      </c>
      <c r="H239" s="3"/>
      <c r="I239" s="3"/>
      <c r="J239" s="3"/>
      <c r="K239" s="3"/>
    </row>
    <row r="240" spans="1:19" ht="15.75" thickBot="1" x14ac:dyDescent="0.3">
      <c r="A240" s="3"/>
      <c r="B240" s="3"/>
      <c r="C240" s="3"/>
      <c r="D240" s="3"/>
      <c r="E240" s="3"/>
      <c r="F240" s="3"/>
      <c r="G240" s="3"/>
      <c r="H240" s="3"/>
      <c r="I240" s="3"/>
      <c r="J240" s="3"/>
    </row>
    <row r="241" spans="1:10" ht="15" customHeight="1" x14ac:dyDescent="0.25">
      <c r="A241" s="175" t="s">
        <v>209</v>
      </c>
      <c r="B241" s="177" t="s">
        <v>210</v>
      </c>
      <c r="C241" s="178"/>
      <c r="D241" s="178"/>
      <c r="E241" s="178"/>
      <c r="F241" s="178"/>
      <c r="G241" s="180" t="s">
        <v>211</v>
      </c>
      <c r="H241" s="181"/>
      <c r="I241" s="175" t="s">
        <v>212</v>
      </c>
      <c r="J241" s="3"/>
    </row>
    <row r="242" spans="1:10" ht="69" customHeight="1" thickBot="1" x14ac:dyDescent="0.3">
      <c r="A242" s="176"/>
      <c r="B242" s="179"/>
      <c r="C242" s="179"/>
      <c r="D242" s="179"/>
      <c r="E242" s="179"/>
      <c r="F242" s="179"/>
      <c r="G242" s="182"/>
      <c r="H242" s="183"/>
      <c r="I242" s="184"/>
    </row>
    <row r="243" spans="1:10" ht="13.5" customHeight="1" x14ac:dyDescent="0.25">
      <c r="A243" s="185" t="s">
        <v>213</v>
      </c>
      <c r="B243" s="187" t="s">
        <v>354</v>
      </c>
      <c r="C243" s="188"/>
      <c r="D243" s="188"/>
      <c r="E243" s="188"/>
      <c r="F243" s="188"/>
      <c r="G243" s="190">
        <v>108542.46</v>
      </c>
      <c r="H243" s="191"/>
      <c r="I243" s="192"/>
    </row>
    <row r="244" spans="1:10" ht="7.5" customHeight="1" thickBot="1" x14ac:dyDescent="0.3">
      <c r="A244" s="186"/>
      <c r="B244" s="189"/>
      <c r="C244" s="189"/>
      <c r="D244" s="189"/>
      <c r="E244" s="189"/>
      <c r="F244" s="189"/>
      <c r="G244" s="193"/>
      <c r="H244" s="194"/>
      <c r="I244" s="128"/>
    </row>
    <row r="245" spans="1:10" ht="15.75" customHeight="1" x14ac:dyDescent="0.25">
      <c r="A245" s="6"/>
      <c r="B245" s="161" t="s">
        <v>214</v>
      </c>
      <c r="C245" s="162"/>
      <c r="D245" s="162"/>
      <c r="E245" s="162"/>
      <c r="F245" s="162"/>
      <c r="G245" s="163">
        <f>1.34*12*F239</f>
        <v>124237.29600000002</v>
      </c>
      <c r="H245" s="164"/>
      <c r="I245" s="169" t="s">
        <v>215</v>
      </c>
    </row>
    <row r="246" spans="1:10" ht="30.75" customHeight="1" thickBot="1" x14ac:dyDescent="0.3">
      <c r="A246" s="7"/>
      <c r="B246" s="171" t="s">
        <v>216</v>
      </c>
      <c r="C246" s="172"/>
      <c r="D246" s="172"/>
      <c r="E246" s="172"/>
      <c r="F246" s="172"/>
      <c r="G246" s="165"/>
      <c r="H246" s="166"/>
      <c r="I246" s="170"/>
    </row>
    <row r="247" spans="1:10" ht="15" customHeight="1" thickBot="1" x14ac:dyDescent="0.3">
      <c r="A247" s="7"/>
      <c r="B247" s="173" t="s">
        <v>217</v>
      </c>
      <c r="C247" s="174"/>
      <c r="D247" s="174"/>
      <c r="E247" s="174"/>
      <c r="F247" s="174"/>
      <c r="G247" s="167"/>
      <c r="H247" s="168"/>
      <c r="I247" s="8" t="s">
        <v>218</v>
      </c>
    </row>
    <row r="248" spans="1:10" ht="15.75" customHeight="1" thickBot="1" x14ac:dyDescent="0.3">
      <c r="A248" s="7"/>
      <c r="B248" s="141" t="s">
        <v>219</v>
      </c>
      <c r="C248" s="142"/>
      <c r="D248" s="142"/>
      <c r="E248" s="142"/>
      <c r="F248" s="142"/>
      <c r="G248" s="143">
        <f>1748.85*3*12</f>
        <v>62958.599999999991</v>
      </c>
      <c r="H248" s="144"/>
      <c r="I248" s="8" t="s">
        <v>220</v>
      </c>
    </row>
    <row r="249" spans="1:10" ht="15" customHeight="1" thickBot="1" x14ac:dyDescent="0.3">
      <c r="A249" s="7"/>
      <c r="B249" s="141" t="s">
        <v>221</v>
      </c>
      <c r="C249" s="142"/>
      <c r="D249" s="142"/>
      <c r="E249" s="142"/>
      <c r="F249" s="142"/>
      <c r="G249" s="143">
        <f>0.47*F239*12</f>
        <v>43575.767999999996</v>
      </c>
      <c r="H249" s="144"/>
      <c r="I249" s="8" t="s">
        <v>222</v>
      </c>
    </row>
    <row r="250" spans="1:10" ht="15" customHeight="1" x14ac:dyDescent="0.25">
      <c r="A250" s="9"/>
      <c r="B250" s="145" t="s">
        <v>223</v>
      </c>
      <c r="C250" s="146"/>
      <c r="D250" s="146"/>
      <c r="E250" s="146"/>
      <c r="F250" s="146"/>
      <c r="G250" s="86">
        <f>1.67*12*F239</f>
        <v>154833.04799999998</v>
      </c>
      <c r="H250" s="147"/>
      <c r="I250" s="152" t="s">
        <v>224</v>
      </c>
    </row>
    <row r="251" spans="1:10" x14ac:dyDescent="0.25">
      <c r="A251" s="10"/>
      <c r="B251" s="155" t="s">
        <v>226</v>
      </c>
      <c r="C251" s="156"/>
      <c r="D251" s="156"/>
      <c r="E251" s="156"/>
      <c r="F251" s="156"/>
      <c r="G251" s="148"/>
      <c r="H251" s="149"/>
      <c r="I251" s="153"/>
    </row>
    <row r="252" spans="1:10" ht="15.75" thickBot="1" x14ac:dyDescent="0.3">
      <c r="A252" s="10"/>
      <c r="B252" s="157" t="s">
        <v>227</v>
      </c>
      <c r="C252" s="158"/>
      <c r="D252" s="158"/>
      <c r="E252" s="158"/>
      <c r="F252" s="158"/>
      <c r="G252" s="148"/>
      <c r="H252" s="149"/>
      <c r="I252" s="154"/>
    </row>
    <row r="253" spans="1:10" ht="15.75" thickBot="1" x14ac:dyDescent="0.3">
      <c r="A253" s="10"/>
      <c r="B253" s="159" t="s">
        <v>228</v>
      </c>
      <c r="C253" s="160"/>
      <c r="D253" s="160"/>
      <c r="E253" s="160"/>
      <c r="F253" s="160"/>
      <c r="G253" s="150"/>
      <c r="H253" s="151"/>
      <c r="I253" s="11" t="s">
        <v>229</v>
      </c>
    </row>
    <row r="254" spans="1:10" ht="15" customHeight="1" x14ac:dyDescent="0.25">
      <c r="A254" s="12"/>
      <c r="B254" s="125" t="s">
        <v>230</v>
      </c>
      <c r="C254" s="126"/>
      <c r="D254" s="126"/>
      <c r="E254" s="126"/>
      <c r="F254" s="126"/>
      <c r="G254" s="86">
        <f>0.048*12*F239</f>
        <v>4450.2912000000006</v>
      </c>
      <c r="H254" s="87"/>
      <c r="I254" s="129" t="s">
        <v>220</v>
      </c>
    </row>
    <row r="255" spans="1:10" ht="15.75" customHeight="1" thickBot="1" x14ac:dyDescent="0.3">
      <c r="A255" s="7"/>
      <c r="B255" s="131" t="s">
        <v>231</v>
      </c>
      <c r="C255" s="132"/>
      <c r="D255" s="132"/>
      <c r="E255" s="132"/>
      <c r="F255" s="132"/>
      <c r="G255" s="127"/>
      <c r="H255" s="128"/>
      <c r="I255" s="130"/>
    </row>
    <row r="256" spans="1:10" ht="15.75" customHeight="1" thickBot="1" x14ac:dyDescent="0.3">
      <c r="A256" s="13"/>
      <c r="B256" s="133" t="s">
        <v>232</v>
      </c>
      <c r="C256" s="134"/>
      <c r="D256" s="134"/>
      <c r="E256" s="134"/>
      <c r="F256" s="134"/>
      <c r="G256" s="135"/>
      <c r="H256" s="136"/>
      <c r="I256" s="14"/>
    </row>
    <row r="257" spans="1:9" ht="44.25" customHeight="1" thickBot="1" x14ac:dyDescent="0.3">
      <c r="A257" s="13"/>
      <c r="B257" s="84" t="s">
        <v>233</v>
      </c>
      <c r="C257" s="85"/>
      <c r="D257" s="85"/>
      <c r="E257" s="85"/>
      <c r="F257" s="85"/>
      <c r="G257" s="86">
        <f>0.85*12*F239</f>
        <v>78807.239999999991</v>
      </c>
      <c r="H257" s="87"/>
      <c r="I257" s="299" t="s">
        <v>473</v>
      </c>
    </row>
    <row r="258" spans="1:9" ht="42" customHeight="1" x14ac:dyDescent="0.25">
      <c r="A258" s="118"/>
      <c r="B258" s="121" t="s">
        <v>226</v>
      </c>
      <c r="C258" s="122"/>
      <c r="D258" s="122"/>
      <c r="E258" s="122"/>
      <c r="F258" s="122"/>
      <c r="G258" s="88"/>
      <c r="H258" s="89"/>
      <c r="I258" s="300"/>
    </row>
    <row r="259" spans="1:9" ht="42.75" customHeight="1" x14ac:dyDescent="0.25">
      <c r="A259" s="119"/>
      <c r="B259" s="121" t="s">
        <v>227</v>
      </c>
      <c r="C259" s="122"/>
      <c r="D259" s="122"/>
      <c r="E259" s="122"/>
      <c r="F259" s="122"/>
      <c r="G259" s="88"/>
      <c r="H259" s="89"/>
      <c r="I259" s="300"/>
    </row>
    <row r="260" spans="1:9" ht="41.25" customHeight="1" x14ac:dyDescent="0.25">
      <c r="A260" s="119"/>
      <c r="B260" s="121" t="s">
        <v>228</v>
      </c>
      <c r="C260" s="122"/>
      <c r="D260" s="122"/>
      <c r="E260" s="122"/>
      <c r="F260" s="122"/>
      <c r="G260" s="88"/>
      <c r="H260" s="89"/>
      <c r="I260" s="300"/>
    </row>
    <row r="261" spans="1:9" ht="52.5" customHeight="1" thickBot="1" x14ac:dyDescent="0.3">
      <c r="A261" s="120"/>
      <c r="B261" s="123" t="s">
        <v>234</v>
      </c>
      <c r="C261" s="124"/>
      <c r="D261" s="124"/>
      <c r="E261" s="124"/>
      <c r="F261" s="124"/>
      <c r="G261" s="90"/>
      <c r="H261" s="91"/>
      <c r="I261" s="301"/>
    </row>
    <row r="262" spans="1:9" ht="1.5" customHeight="1" thickBot="1" x14ac:dyDescent="0.3">
      <c r="A262" s="15"/>
      <c r="B262" s="137"/>
      <c r="C262" s="138"/>
      <c r="D262" s="138"/>
      <c r="E262" s="138"/>
      <c r="F262" s="138"/>
      <c r="G262" s="139"/>
      <c r="H262" s="140"/>
      <c r="I262" s="16"/>
    </row>
    <row r="263" spans="1:9" ht="27.75" customHeight="1" thickBot="1" x14ac:dyDescent="0.3">
      <c r="A263" s="15"/>
      <c r="B263" s="137" t="s">
        <v>235</v>
      </c>
      <c r="C263" s="138"/>
      <c r="D263" s="138"/>
      <c r="E263" s="138"/>
      <c r="F263" s="138"/>
      <c r="G263" s="139"/>
      <c r="H263" s="140"/>
      <c r="I263" s="16"/>
    </row>
    <row r="264" spans="1:9" ht="31.5" customHeight="1" thickBot="1" x14ac:dyDescent="0.3">
      <c r="A264" s="17"/>
      <c r="B264" s="78" t="s">
        <v>237</v>
      </c>
      <c r="C264" s="79"/>
      <c r="D264" s="79"/>
      <c r="E264" s="79"/>
      <c r="F264" s="79"/>
      <c r="G264" s="86">
        <f>44341+12099</f>
        <v>56440</v>
      </c>
      <c r="H264" s="87"/>
      <c r="I264" s="108" t="s">
        <v>229</v>
      </c>
    </row>
    <row r="265" spans="1:9" ht="15.75" customHeight="1" thickBot="1" x14ac:dyDescent="0.3">
      <c r="A265" s="18"/>
      <c r="B265" s="110" t="s">
        <v>238</v>
      </c>
      <c r="C265" s="111"/>
      <c r="D265" s="111"/>
      <c r="E265" s="111"/>
      <c r="F265" s="111"/>
      <c r="G265" s="90"/>
      <c r="H265" s="91"/>
      <c r="I265" s="109"/>
    </row>
    <row r="266" spans="1:9" ht="15.75" customHeight="1" thickBot="1" x14ac:dyDescent="0.3">
      <c r="A266" s="19"/>
      <c r="B266" s="112" t="s">
        <v>239</v>
      </c>
      <c r="C266" s="113"/>
      <c r="D266" s="113"/>
      <c r="E266" s="113"/>
      <c r="F266" s="113"/>
      <c r="G266" s="114">
        <f>SUM(G245:H265)</f>
        <v>525302.24319999991</v>
      </c>
      <c r="H266" s="115"/>
      <c r="I266" s="20"/>
    </row>
    <row r="267" spans="1:9" ht="15" customHeight="1" thickBot="1" x14ac:dyDescent="0.3">
      <c r="A267" s="21"/>
      <c r="B267" s="101" t="s">
        <v>240</v>
      </c>
      <c r="C267" s="102"/>
      <c r="D267" s="102"/>
      <c r="E267" s="102"/>
      <c r="F267" s="102"/>
      <c r="G267" s="116">
        <f>G266*1.2</f>
        <v>630362.69183999987</v>
      </c>
      <c r="H267" s="117"/>
      <c r="I267" s="22"/>
    </row>
    <row r="268" spans="1:9" ht="15.75" customHeight="1" thickBot="1" x14ac:dyDescent="0.3">
      <c r="A268" s="24"/>
      <c r="B268" s="96" t="s">
        <v>443</v>
      </c>
      <c r="C268" s="97"/>
      <c r="D268" s="97"/>
      <c r="E268" s="97"/>
      <c r="F268" s="97"/>
      <c r="G268" s="295">
        <v>61267702</v>
      </c>
      <c r="H268" s="296"/>
      <c r="I268" s="297"/>
    </row>
    <row r="269" spans="1:9" ht="15.75" thickBot="1" x14ac:dyDescent="0.3">
      <c r="A269" s="19"/>
      <c r="B269" s="101" t="s">
        <v>242</v>
      </c>
      <c r="C269" s="102"/>
      <c r="D269" s="102"/>
      <c r="E269" s="102"/>
      <c r="F269" s="102"/>
      <c r="G269" s="116">
        <v>633302.6</v>
      </c>
      <c r="H269" s="298"/>
      <c r="I269" s="214"/>
    </row>
    <row r="270" spans="1:9" ht="15.75" customHeight="1" thickBot="1" x14ac:dyDescent="0.3">
      <c r="A270" s="19"/>
      <c r="B270" s="106" t="s">
        <v>444</v>
      </c>
      <c r="C270" s="107"/>
      <c r="D270" s="107"/>
      <c r="E270" s="107"/>
      <c r="F270" s="107"/>
      <c r="G270" s="116">
        <v>87916.88</v>
      </c>
      <c r="H270" s="298"/>
      <c r="I270" s="214"/>
    </row>
    <row r="271" spans="1:9" x14ac:dyDescent="0.25">
      <c r="A271" s="4"/>
      <c r="B271" s="26"/>
      <c r="C271" s="26"/>
      <c r="D271" s="26"/>
      <c r="E271" s="26"/>
      <c r="F271" s="26"/>
      <c r="G271" s="27"/>
      <c r="H271" s="3"/>
      <c r="I271" s="3"/>
    </row>
    <row r="272" spans="1:9" ht="15.75" customHeight="1" x14ac:dyDescent="0.25">
      <c r="E272" s="50"/>
      <c r="I272" s="5"/>
    </row>
    <row r="273" spans="1:9" x14ac:dyDescent="0.25">
      <c r="A273" s="3"/>
      <c r="I273" s="5"/>
    </row>
    <row r="274" spans="1:9" ht="15.75" x14ac:dyDescent="0.25">
      <c r="A274" s="30"/>
      <c r="C274" s="30"/>
    </row>
    <row r="275" spans="1:9" ht="15.75" x14ac:dyDescent="0.25">
      <c r="C275" s="30"/>
    </row>
  </sheetData>
  <mergeCells count="708">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B28:F28"/>
    <mergeCell ref="G28:H29"/>
    <mergeCell ref="I28:I29"/>
    <mergeCell ref="L28:P28"/>
    <mergeCell ref="Q28:R29"/>
    <mergeCell ref="S28:S29"/>
    <mergeCell ref="B29:F29"/>
    <mergeCell ref="L29:P29"/>
    <mergeCell ref="B26:F26"/>
    <mergeCell ref="G26:H26"/>
    <mergeCell ref="L26:P26"/>
    <mergeCell ref="Q26:R26"/>
    <mergeCell ref="B27:F27"/>
    <mergeCell ref="G27:H27"/>
    <mergeCell ref="L27:P27"/>
    <mergeCell ref="Q27:R27"/>
    <mergeCell ref="B32:F32"/>
    <mergeCell ref="G32:I32"/>
    <mergeCell ref="L32:P32"/>
    <mergeCell ref="Q32:S32"/>
    <mergeCell ref="B33:F33"/>
    <mergeCell ref="G33:I33"/>
    <mergeCell ref="L33:P33"/>
    <mergeCell ref="Q33:S33"/>
    <mergeCell ref="B30:F30"/>
    <mergeCell ref="G30:H30"/>
    <mergeCell ref="L30:P30"/>
    <mergeCell ref="Q30:R30"/>
    <mergeCell ref="B31:F31"/>
    <mergeCell ref="G31:H31"/>
    <mergeCell ref="L31:P31"/>
    <mergeCell ref="Q31:R31"/>
    <mergeCell ref="Q44:R45"/>
    <mergeCell ref="S44:S45"/>
    <mergeCell ref="A46:A47"/>
    <mergeCell ref="B46:F47"/>
    <mergeCell ref="G46:I47"/>
    <mergeCell ref="K46:K47"/>
    <mergeCell ref="L46:P47"/>
    <mergeCell ref="Q46:S47"/>
    <mergeCell ref="B34:F34"/>
    <mergeCell ref="G34:I34"/>
    <mergeCell ref="L34:P34"/>
    <mergeCell ref="Q34:S34"/>
    <mergeCell ref="A44:A45"/>
    <mergeCell ref="B44:F45"/>
    <mergeCell ref="G44:H45"/>
    <mergeCell ref="I44:I45"/>
    <mergeCell ref="K44:K45"/>
    <mergeCell ref="L44:P45"/>
    <mergeCell ref="B48:F48"/>
    <mergeCell ref="G48:H50"/>
    <mergeCell ref="I48:I49"/>
    <mergeCell ref="L48:P48"/>
    <mergeCell ref="Q48:R50"/>
    <mergeCell ref="S48:S49"/>
    <mergeCell ref="B49:F49"/>
    <mergeCell ref="L49:P49"/>
    <mergeCell ref="B50:F50"/>
    <mergeCell ref="L50:P50"/>
    <mergeCell ref="B55:F55"/>
    <mergeCell ref="L55:P55"/>
    <mergeCell ref="B51:F51"/>
    <mergeCell ref="G51:H51"/>
    <mergeCell ref="L51:P51"/>
    <mergeCell ref="Q51:R51"/>
    <mergeCell ref="B52:F52"/>
    <mergeCell ref="G52:H52"/>
    <mergeCell ref="L52:P52"/>
    <mergeCell ref="Q52:R52"/>
    <mergeCell ref="B53:F53"/>
    <mergeCell ref="G53:H56"/>
    <mergeCell ref="I53:I55"/>
    <mergeCell ref="L53:P53"/>
    <mergeCell ref="B60:F60"/>
    <mergeCell ref="G60:H64"/>
    <mergeCell ref="I60:I64"/>
    <mergeCell ref="L60:P60"/>
    <mergeCell ref="Q53:R56"/>
    <mergeCell ref="B56:F56"/>
    <mergeCell ref="L56:P56"/>
    <mergeCell ref="Q60:R64"/>
    <mergeCell ref="S60:S64"/>
    <mergeCell ref="Q57:R58"/>
    <mergeCell ref="S57:S58"/>
    <mergeCell ref="B58:F58"/>
    <mergeCell ref="L58:P58"/>
    <mergeCell ref="B59:F59"/>
    <mergeCell ref="G59:H59"/>
    <mergeCell ref="L59:P59"/>
    <mergeCell ref="Q59:R59"/>
    <mergeCell ref="B57:F57"/>
    <mergeCell ref="G57:H58"/>
    <mergeCell ref="I57:I58"/>
    <mergeCell ref="L57:P57"/>
    <mergeCell ref="S53:S55"/>
    <mergeCell ref="B54:F54"/>
    <mergeCell ref="L54:P54"/>
    <mergeCell ref="A61:A64"/>
    <mergeCell ref="B61:F61"/>
    <mergeCell ref="K61:K64"/>
    <mergeCell ref="L61:P61"/>
    <mergeCell ref="B62:F62"/>
    <mergeCell ref="L62:P62"/>
    <mergeCell ref="B63:F63"/>
    <mergeCell ref="L63:P63"/>
    <mergeCell ref="B64:F64"/>
    <mergeCell ref="L64:P64"/>
    <mergeCell ref="B67:F67"/>
    <mergeCell ref="G67:H68"/>
    <mergeCell ref="I67:I68"/>
    <mergeCell ref="L67:P67"/>
    <mergeCell ref="Q67:R68"/>
    <mergeCell ref="S67:S68"/>
    <mergeCell ref="B68:F68"/>
    <mergeCell ref="L68:P68"/>
    <mergeCell ref="B65:F65"/>
    <mergeCell ref="G65:H65"/>
    <mergeCell ref="L65:P65"/>
    <mergeCell ref="Q65:R65"/>
    <mergeCell ref="B66:F66"/>
    <mergeCell ref="G66:H66"/>
    <mergeCell ref="L66:P66"/>
    <mergeCell ref="Q66:R66"/>
    <mergeCell ref="B71:F71"/>
    <mergeCell ref="G71:I71"/>
    <mergeCell ref="L71:P71"/>
    <mergeCell ref="Q71:S71"/>
    <mergeCell ref="B72:F72"/>
    <mergeCell ref="G72:I72"/>
    <mergeCell ref="L72:P72"/>
    <mergeCell ref="Q72:S72"/>
    <mergeCell ref="B69:F69"/>
    <mergeCell ref="G69:H69"/>
    <mergeCell ref="L69:P69"/>
    <mergeCell ref="Q69:R69"/>
    <mergeCell ref="B70:F70"/>
    <mergeCell ref="G70:H70"/>
    <mergeCell ref="L70:P70"/>
    <mergeCell ref="Q70:R70"/>
    <mergeCell ref="B73:F73"/>
    <mergeCell ref="G73:I73"/>
    <mergeCell ref="L73:P73"/>
    <mergeCell ref="Q73:S73"/>
    <mergeCell ref="B74:I74"/>
    <mergeCell ref="A84:A85"/>
    <mergeCell ref="B84:F85"/>
    <mergeCell ref="G84:H85"/>
    <mergeCell ref="I84:I85"/>
    <mergeCell ref="K84:K85"/>
    <mergeCell ref="L84:P85"/>
    <mergeCell ref="Q84:R85"/>
    <mergeCell ref="S84:S85"/>
    <mergeCell ref="A86:A87"/>
    <mergeCell ref="B86:F87"/>
    <mergeCell ref="G86:I87"/>
    <mergeCell ref="K86:K87"/>
    <mergeCell ref="L86:P87"/>
    <mergeCell ref="Q86:S87"/>
    <mergeCell ref="B88:F88"/>
    <mergeCell ref="G88:H90"/>
    <mergeCell ref="I88:I89"/>
    <mergeCell ref="L88:P88"/>
    <mergeCell ref="Q88:R90"/>
    <mergeCell ref="S88:S89"/>
    <mergeCell ref="B89:F89"/>
    <mergeCell ref="L89:P89"/>
    <mergeCell ref="B90:F90"/>
    <mergeCell ref="L90:P90"/>
    <mergeCell ref="B95:F95"/>
    <mergeCell ref="L95:P95"/>
    <mergeCell ref="B91:F91"/>
    <mergeCell ref="G91:H91"/>
    <mergeCell ref="L91:P91"/>
    <mergeCell ref="Q91:R91"/>
    <mergeCell ref="B92:F92"/>
    <mergeCell ref="G92:H92"/>
    <mergeCell ref="L92:P92"/>
    <mergeCell ref="Q92:R92"/>
    <mergeCell ref="B93:F93"/>
    <mergeCell ref="G93:H96"/>
    <mergeCell ref="I93:I95"/>
    <mergeCell ref="L93:P93"/>
    <mergeCell ref="B100:F100"/>
    <mergeCell ref="G100:H104"/>
    <mergeCell ref="I100:I104"/>
    <mergeCell ref="L100:P100"/>
    <mergeCell ref="Q93:R96"/>
    <mergeCell ref="B96:F96"/>
    <mergeCell ref="L96:P96"/>
    <mergeCell ref="Q100:R104"/>
    <mergeCell ref="S100:S104"/>
    <mergeCell ref="Q97:R98"/>
    <mergeCell ref="S97:S98"/>
    <mergeCell ref="B98:F98"/>
    <mergeCell ref="L98:P98"/>
    <mergeCell ref="B99:F99"/>
    <mergeCell ref="G99:H99"/>
    <mergeCell ref="L99:P99"/>
    <mergeCell ref="Q99:R99"/>
    <mergeCell ref="B97:F97"/>
    <mergeCell ref="G97:H98"/>
    <mergeCell ref="I97:I98"/>
    <mergeCell ref="L97:P97"/>
    <mergeCell ref="S93:S95"/>
    <mergeCell ref="B94:F94"/>
    <mergeCell ref="L94:P94"/>
    <mergeCell ref="A101:A104"/>
    <mergeCell ref="B101:F101"/>
    <mergeCell ref="K101:K104"/>
    <mergeCell ref="L101:P101"/>
    <mergeCell ref="B102:F102"/>
    <mergeCell ref="L102:P102"/>
    <mergeCell ref="B103:F103"/>
    <mergeCell ref="L103:P103"/>
    <mergeCell ref="B104:F104"/>
    <mergeCell ref="L104:P104"/>
    <mergeCell ref="B107:F107"/>
    <mergeCell ref="G107:H108"/>
    <mergeCell ref="I107:I108"/>
    <mergeCell ref="L107:P107"/>
    <mergeCell ref="Q107:R108"/>
    <mergeCell ref="S107:S108"/>
    <mergeCell ref="B108:F108"/>
    <mergeCell ref="L108:P108"/>
    <mergeCell ref="B105:F105"/>
    <mergeCell ref="G105:H105"/>
    <mergeCell ref="L105:P105"/>
    <mergeCell ref="Q105:R105"/>
    <mergeCell ref="B106:F106"/>
    <mergeCell ref="G106:H106"/>
    <mergeCell ref="L106:P106"/>
    <mergeCell ref="Q106:R106"/>
    <mergeCell ref="B111:F111"/>
    <mergeCell ref="G111:I111"/>
    <mergeCell ref="L111:P111"/>
    <mergeCell ref="Q111:S111"/>
    <mergeCell ref="B112:F112"/>
    <mergeCell ref="G112:I112"/>
    <mergeCell ref="L112:P112"/>
    <mergeCell ref="Q112:S112"/>
    <mergeCell ref="B109:F109"/>
    <mergeCell ref="G109:H109"/>
    <mergeCell ref="L109:P109"/>
    <mergeCell ref="Q109:R109"/>
    <mergeCell ref="B110:F110"/>
    <mergeCell ref="G110:H110"/>
    <mergeCell ref="L110:P110"/>
    <mergeCell ref="Q110:R110"/>
    <mergeCell ref="Q123:R124"/>
    <mergeCell ref="S123:S124"/>
    <mergeCell ref="A125:A126"/>
    <mergeCell ref="B125:F126"/>
    <mergeCell ref="G125:I126"/>
    <mergeCell ref="K125:K126"/>
    <mergeCell ref="L125:P126"/>
    <mergeCell ref="Q125:S126"/>
    <mergeCell ref="B113:F113"/>
    <mergeCell ref="G113:I113"/>
    <mergeCell ref="L113:P113"/>
    <mergeCell ref="Q113:S113"/>
    <mergeCell ref="A123:A124"/>
    <mergeCell ref="B123:F124"/>
    <mergeCell ref="G123:H124"/>
    <mergeCell ref="I123:I124"/>
    <mergeCell ref="K123:K124"/>
    <mergeCell ref="L123:P124"/>
    <mergeCell ref="B127:F127"/>
    <mergeCell ref="G127:H129"/>
    <mergeCell ref="I127:I128"/>
    <mergeCell ref="L127:P127"/>
    <mergeCell ref="Q127:R129"/>
    <mergeCell ref="S127:S128"/>
    <mergeCell ref="B128:F128"/>
    <mergeCell ref="L128:P128"/>
    <mergeCell ref="B129:F129"/>
    <mergeCell ref="L129:P129"/>
    <mergeCell ref="B134:F134"/>
    <mergeCell ref="L134:P134"/>
    <mergeCell ref="B130:F130"/>
    <mergeCell ref="G130:H130"/>
    <mergeCell ref="L130:P130"/>
    <mergeCell ref="Q130:R130"/>
    <mergeCell ref="B131:F131"/>
    <mergeCell ref="G131:H131"/>
    <mergeCell ref="L131:P131"/>
    <mergeCell ref="Q131:R131"/>
    <mergeCell ref="B132:F132"/>
    <mergeCell ref="G132:H135"/>
    <mergeCell ref="I132:I134"/>
    <mergeCell ref="L132:P132"/>
    <mergeCell ref="B139:F139"/>
    <mergeCell ref="G139:H143"/>
    <mergeCell ref="I139:I143"/>
    <mergeCell ref="L139:P139"/>
    <mergeCell ref="Q132:R135"/>
    <mergeCell ref="B135:F135"/>
    <mergeCell ref="L135:P135"/>
    <mergeCell ref="Q139:R143"/>
    <mergeCell ref="S139:S143"/>
    <mergeCell ref="Q136:R137"/>
    <mergeCell ref="S136:S137"/>
    <mergeCell ref="B137:F137"/>
    <mergeCell ref="L137:P137"/>
    <mergeCell ref="B138:F138"/>
    <mergeCell ref="G138:H138"/>
    <mergeCell ref="L138:P138"/>
    <mergeCell ref="Q138:R138"/>
    <mergeCell ref="B136:F136"/>
    <mergeCell ref="G136:H137"/>
    <mergeCell ref="I136:I137"/>
    <mergeCell ref="L136:P136"/>
    <mergeCell ref="S132:S134"/>
    <mergeCell ref="B133:F133"/>
    <mergeCell ref="L133:P133"/>
    <mergeCell ref="A140:A143"/>
    <mergeCell ref="B140:F140"/>
    <mergeCell ref="K140:K143"/>
    <mergeCell ref="L140:P140"/>
    <mergeCell ref="B141:F141"/>
    <mergeCell ref="L141:P141"/>
    <mergeCell ref="B142:F142"/>
    <mergeCell ref="L142:P142"/>
    <mergeCell ref="B143:F143"/>
    <mergeCell ref="L143:P143"/>
    <mergeCell ref="S146:S147"/>
    <mergeCell ref="B147:F147"/>
    <mergeCell ref="L147:P147"/>
    <mergeCell ref="B144:F144"/>
    <mergeCell ref="G144:H144"/>
    <mergeCell ref="L144:P144"/>
    <mergeCell ref="Q144:R144"/>
    <mergeCell ref="B145:F145"/>
    <mergeCell ref="G145:H145"/>
    <mergeCell ref="L145:P145"/>
    <mergeCell ref="Q145:R145"/>
    <mergeCell ref="B148:F148"/>
    <mergeCell ref="G148:H148"/>
    <mergeCell ref="L148:P148"/>
    <mergeCell ref="Q148:R148"/>
    <mergeCell ref="B149:F149"/>
    <mergeCell ref="G149:H149"/>
    <mergeCell ref="L149:P149"/>
    <mergeCell ref="Q149:R149"/>
    <mergeCell ref="B146:F146"/>
    <mergeCell ref="G146:H147"/>
    <mergeCell ref="I146:I147"/>
    <mergeCell ref="L146:P146"/>
    <mergeCell ref="Q146:R147"/>
    <mergeCell ref="B152:F152"/>
    <mergeCell ref="G152:I152"/>
    <mergeCell ref="L152:P152"/>
    <mergeCell ref="Q152:S152"/>
    <mergeCell ref="B153:I153"/>
    <mergeCell ref="L153:S153"/>
    <mergeCell ref="B150:F150"/>
    <mergeCell ref="G150:I150"/>
    <mergeCell ref="L150:P150"/>
    <mergeCell ref="Q150:S150"/>
    <mergeCell ref="B151:F151"/>
    <mergeCell ref="G151:I151"/>
    <mergeCell ref="L151:P151"/>
    <mergeCell ref="Q151:S151"/>
    <mergeCell ref="Q162:R163"/>
    <mergeCell ref="S162:S163"/>
    <mergeCell ref="A164:A165"/>
    <mergeCell ref="B164:F165"/>
    <mergeCell ref="G164:I165"/>
    <mergeCell ref="K164:K165"/>
    <mergeCell ref="L164:P165"/>
    <mergeCell ref="Q164:S165"/>
    <mergeCell ref="A162:A163"/>
    <mergeCell ref="B162:F163"/>
    <mergeCell ref="G162:H163"/>
    <mergeCell ref="I162:I163"/>
    <mergeCell ref="K162:K163"/>
    <mergeCell ref="L162:P163"/>
    <mergeCell ref="B166:F166"/>
    <mergeCell ref="G166:H168"/>
    <mergeCell ref="I166:I167"/>
    <mergeCell ref="L166:P166"/>
    <mergeCell ref="Q166:R168"/>
    <mergeCell ref="S166:S167"/>
    <mergeCell ref="B167:F167"/>
    <mergeCell ref="L167:P167"/>
    <mergeCell ref="B168:F168"/>
    <mergeCell ref="L168:P168"/>
    <mergeCell ref="B173:F173"/>
    <mergeCell ref="L173:P173"/>
    <mergeCell ref="B169:F169"/>
    <mergeCell ref="G169:H169"/>
    <mergeCell ref="L169:P169"/>
    <mergeCell ref="Q169:R169"/>
    <mergeCell ref="B170:F170"/>
    <mergeCell ref="G170:H170"/>
    <mergeCell ref="L170:P170"/>
    <mergeCell ref="Q170:R170"/>
    <mergeCell ref="B171:F171"/>
    <mergeCell ref="G171:H174"/>
    <mergeCell ref="I171:I173"/>
    <mergeCell ref="L171:P171"/>
    <mergeCell ref="B178:F178"/>
    <mergeCell ref="G178:H182"/>
    <mergeCell ref="I178:I182"/>
    <mergeCell ref="L178:P178"/>
    <mergeCell ref="Q171:R174"/>
    <mergeCell ref="B174:F174"/>
    <mergeCell ref="L174:P174"/>
    <mergeCell ref="Q178:R182"/>
    <mergeCell ref="S178:S182"/>
    <mergeCell ref="Q175:R176"/>
    <mergeCell ref="S175:S176"/>
    <mergeCell ref="B176:F176"/>
    <mergeCell ref="L176:P176"/>
    <mergeCell ref="B177:F177"/>
    <mergeCell ref="G177:H177"/>
    <mergeCell ref="L177:P177"/>
    <mergeCell ref="Q177:R177"/>
    <mergeCell ref="B175:F175"/>
    <mergeCell ref="G175:H176"/>
    <mergeCell ref="I175:I176"/>
    <mergeCell ref="L175:P175"/>
    <mergeCell ref="S171:S173"/>
    <mergeCell ref="B172:F172"/>
    <mergeCell ref="L172:P172"/>
    <mergeCell ref="A179:A182"/>
    <mergeCell ref="B179:F179"/>
    <mergeCell ref="K179:K182"/>
    <mergeCell ref="L179:P179"/>
    <mergeCell ref="B180:F180"/>
    <mergeCell ref="L180:P180"/>
    <mergeCell ref="B181:F181"/>
    <mergeCell ref="L181:P181"/>
    <mergeCell ref="B182:F182"/>
    <mergeCell ref="L182:P182"/>
    <mergeCell ref="B185:F185"/>
    <mergeCell ref="G185:H186"/>
    <mergeCell ref="I185:I186"/>
    <mergeCell ref="L185:P185"/>
    <mergeCell ref="Q185:R186"/>
    <mergeCell ref="S185:S186"/>
    <mergeCell ref="B186:F186"/>
    <mergeCell ref="L186:P186"/>
    <mergeCell ref="B183:F183"/>
    <mergeCell ref="G183:H183"/>
    <mergeCell ref="L183:P183"/>
    <mergeCell ref="Q183:R183"/>
    <mergeCell ref="B184:F184"/>
    <mergeCell ref="G184:H184"/>
    <mergeCell ref="L184:P184"/>
    <mergeCell ref="Q184:R184"/>
    <mergeCell ref="B189:F189"/>
    <mergeCell ref="G189:I189"/>
    <mergeCell ref="L189:P189"/>
    <mergeCell ref="Q189:S189"/>
    <mergeCell ref="B190:F190"/>
    <mergeCell ref="G190:I190"/>
    <mergeCell ref="L190:P190"/>
    <mergeCell ref="Q190:S190"/>
    <mergeCell ref="B187:F187"/>
    <mergeCell ref="G187:H187"/>
    <mergeCell ref="L187:P187"/>
    <mergeCell ref="Q187:R187"/>
    <mergeCell ref="B188:F188"/>
    <mergeCell ref="G188:H188"/>
    <mergeCell ref="L188:P188"/>
    <mergeCell ref="Q188:R188"/>
    <mergeCell ref="Q201:R202"/>
    <mergeCell ref="S201:S202"/>
    <mergeCell ref="A203:A204"/>
    <mergeCell ref="B203:F204"/>
    <mergeCell ref="G203:I204"/>
    <mergeCell ref="K203:K204"/>
    <mergeCell ref="L203:P204"/>
    <mergeCell ref="Q203:S204"/>
    <mergeCell ref="B191:F191"/>
    <mergeCell ref="G191:I191"/>
    <mergeCell ref="L191:P191"/>
    <mergeCell ref="Q191:S191"/>
    <mergeCell ref="A201:A202"/>
    <mergeCell ref="B201:F202"/>
    <mergeCell ref="G201:H202"/>
    <mergeCell ref="I201:I202"/>
    <mergeCell ref="K201:K202"/>
    <mergeCell ref="L201:P202"/>
    <mergeCell ref="B192:I192"/>
    <mergeCell ref="B205:F205"/>
    <mergeCell ref="G205:H207"/>
    <mergeCell ref="I205:I206"/>
    <mergeCell ref="L205:P205"/>
    <mergeCell ref="Q205:R207"/>
    <mergeCell ref="S205:S206"/>
    <mergeCell ref="B206:F206"/>
    <mergeCell ref="L206:P206"/>
    <mergeCell ref="B207:F207"/>
    <mergeCell ref="L207:P207"/>
    <mergeCell ref="B212:F212"/>
    <mergeCell ref="L212:P212"/>
    <mergeCell ref="B208:F208"/>
    <mergeCell ref="G208:H208"/>
    <mergeCell ref="L208:P208"/>
    <mergeCell ref="Q208:R208"/>
    <mergeCell ref="B209:F209"/>
    <mergeCell ref="G209:H209"/>
    <mergeCell ref="L209:P209"/>
    <mergeCell ref="Q209:R209"/>
    <mergeCell ref="B210:F210"/>
    <mergeCell ref="G210:H213"/>
    <mergeCell ref="I210:I212"/>
    <mergeCell ref="L210:P210"/>
    <mergeCell ref="B217:F217"/>
    <mergeCell ref="G217:H221"/>
    <mergeCell ref="I217:I221"/>
    <mergeCell ref="L217:P217"/>
    <mergeCell ref="Q210:R213"/>
    <mergeCell ref="B213:F213"/>
    <mergeCell ref="L213:P213"/>
    <mergeCell ref="Q217:R221"/>
    <mergeCell ref="S217:S221"/>
    <mergeCell ref="Q214:R215"/>
    <mergeCell ref="S214:S215"/>
    <mergeCell ref="B215:F215"/>
    <mergeCell ref="L215:P215"/>
    <mergeCell ref="B216:F216"/>
    <mergeCell ref="G216:H216"/>
    <mergeCell ref="L216:P216"/>
    <mergeCell ref="Q216:R216"/>
    <mergeCell ref="B214:F214"/>
    <mergeCell ref="G214:H215"/>
    <mergeCell ref="I214:I215"/>
    <mergeCell ref="L214:P214"/>
    <mergeCell ref="S210:S212"/>
    <mergeCell ref="B211:F211"/>
    <mergeCell ref="L211:P211"/>
    <mergeCell ref="A218:A221"/>
    <mergeCell ref="B218:F218"/>
    <mergeCell ref="K218:K221"/>
    <mergeCell ref="L218:P218"/>
    <mergeCell ref="B219:F219"/>
    <mergeCell ref="L219:P219"/>
    <mergeCell ref="B220:F220"/>
    <mergeCell ref="L220:P220"/>
    <mergeCell ref="B221:F221"/>
    <mergeCell ref="L221:P221"/>
    <mergeCell ref="S224:S225"/>
    <mergeCell ref="B225:F225"/>
    <mergeCell ref="L225:P225"/>
    <mergeCell ref="B222:F222"/>
    <mergeCell ref="G222:H222"/>
    <mergeCell ref="L222:P222"/>
    <mergeCell ref="Q222:R222"/>
    <mergeCell ref="B223:F223"/>
    <mergeCell ref="G223:H223"/>
    <mergeCell ref="L223:P223"/>
    <mergeCell ref="Q223:R223"/>
    <mergeCell ref="B226:F226"/>
    <mergeCell ref="G226:H226"/>
    <mergeCell ref="L226:P226"/>
    <mergeCell ref="Q226:R226"/>
    <mergeCell ref="B227:F227"/>
    <mergeCell ref="G227:H227"/>
    <mergeCell ref="L227:P227"/>
    <mergeCell ref="Q227:R227"/>
    <mergeCell ref="B224:F224"/>
    <mergeCell ref="G224:H225"/>
    <mergeCell ref="I224:I225"/>
    <mergeCell ref="L224:P224"/>
    <mergeCell ref="Q224:R225"/>
    <mergeCell ref="L230:P230"/>
    <mergeCell ref="Q230:S230"/>
    <mergeCell ref="B231:I231"/>
    <mergeCell ref="B232:I232"/>
    <mergeCell ref="B228:F228"/>
    <mergeCell ref="G228:I228"/>
    <mergeCell ref="L228:P228"/>
    <mergeCell ref="Q228:S228"/>
    <mergeCell ref="B229:F229"/>
    <mergeCell ref="G229:I229"/>
    <mergeCell ref="L229:P229"/>
    <mergeCell ref="Q229:S229"/>
    <mergeCell ref="A241:A242"/>
    <mergeCell ref="B241:F242"/>
    <mergeCell ref="G241:H242"/>
    <mergeCell ref="I241:I242"/>
    <mergeCell ref="A243:A244"/>
    <mergeCell ref="B243:F244"/>
    <mergeCell ref="G243:I244"/>
    <mergeCell ref="B230:F230"/>
    <mergeCell ref="G230:I230"/>
    <mergeCell ref="B249:F249"/>
    <mergeCell ref="G249:H249"/>
    <mergeCell ref="B250:F250"/>
    <mergeCell ref="G250:H253"/>
    <mergeCell ref="I250:I252"/>
    <mergeCell ref="B251:F251"/>
    <mergeCell ref="B252:F252"/>
    <mergeCell ref="B253:F253"/>
    <mergeCell ref="B245:F245"/>
    <mergeCell ref="G245:H247"/>
    <mergeCell ref="I245:I246"/>
    <mergeCell ref="B246:F246"/>
    <mergeCell ref="B247:F247"/>
    <mergeCell ref="B248:F248"/>
    <mergeCell ref="G248:H248"/>
    <mergeCell ref="A258:A261"/>
    <mergeCell ref="B258:F258"/>
    <mergeCell ref="B259:F259"/>
    <mergeCell ref="B260:F260"/>
    <mergeCell ref="B261:F261"/>
    <mergeCell ref="B254:F254"/>
    <mergeCell ref="G254:H255"/>
    <mergeCell ref="I254:I255"/>
    <mergeCell ref="B255:F255"/>
    <mergeCell ref="B256:F256"/>
    <mergeCell ref="G256:H256"/>
    <mergeCell ref="B262:F262"/>
    <mergeCell ref="G262:H262"/>
    <mergeCell ref="B263:F263"/>
    <mergeCell ref="G263:H263"/>
    <mergeCell ref="B264:F264"/>
    <mergeCell ref="G264:H265"/>
    <mergeCell ref="B257:F257"/>
    <mergeCell ref="G257:H261"/>
    <mergeCell ref="I257:I261"/>
    <mergeCell ref="B268:F268"/>
    <mergeCell ref="G268:I268"/>
    <mergeCell ref="B269:F269"/>
    <mergeCell ref="G269:I269"/>
    <mergeCell ref="B270:F270"/>
    <mergeCell ref="G270:I270"/>
    <mergeCell ref="I264:I265"/>
    <mergeCell ref="B265:F265"/>
    <mergeCell ref="B266:F266"/>
    <mergeCell ref="G266:H266"/>
    <mergeCell ref="B267:F267"/>
    <mergeCell ref="G267:H267"/>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S226"/>
  <sheetViews>
    <sheetView topLeftCell="A208" zoomScale="73" zoomScaleNormal="73" workbookViewId="0">
      <selection activeCell="Q212" sqref="Q212:R212"/>
    </sheetView>
  </sheetViews>
  <sheetFormatPr defaultRowHeight="15" x14ac:dyDescent="0.25"/>
  <cols>
    <col min="1" max="1" width="3.42578125" customWidth="1"/>
    <col min="7" max="7" width="10" customWidth="1"/>
    <col min="9" max="9" width="45.28515625" customWidth="1"/>
    <col min="10" max="10" width="0.42578125" customWidth="1"/>
    <col min="11" max="11" width="4.42578125" customWidth="1"/>
    <col min="17" max="17" width="10.28515625" customWidth="1"/>
    <col min="19" max="19" width="47.42578125" customWidth="1"/>
    <col min="257" max="257" width="3.42578125" customWidth="1"/>
    <col min="263" max="263" width="10" customWidth="1"/>
    <col min="265" max="265" width="45.28515625" customWidth="1"/>
    <col min="266" max="266" width="0.42578125" customWidth="1"/>
    <col min="267" max="267" width="4.42578125" customWidth="1"/>
    <col min="273" max="273" width="10.28515625" customWidth="1"/>
    <col min="275" max="275" width="47.42578125" customWidth="1"/>
    <col min="513" max="513" width="3.42578125" customWidth="1"/>
    <col min="519" max="519" width="10" customWidth="1"/>
    <col min="521" max="521" width="45.28515625" customWidth="1"/>
    <col min="522" max="522" width="0.42578125" customWidth="1"/>
    <col min="523" max="523" width="4.42578125" customWidth="1"/>
    <col min="529" max="529" width="10.28515625" customWidth="1"/>
    <col min="531" max="531" width="47.42578125" customWidth="1"/>
    <col min="769" max="769" width="3.42578125" customWidth="1"/>
    <col min="775" max="775" width="10" customWidth="1"/>
    <col min="777" max="777" width="45.28515625" customWidth="1"/>
    <col min="778" max="778" width="0.42578125" customWidth="1"/>
    <col min="779" max="779" width="4.42578125" customWidth="1"/>
    <col min="785" max="785" width="10.28515625" customWidth="1"/>
    <col min="787" max="787" width="47.42578125" customWidth="1"/>
    <col min="1025" max="1025" width="3.42578125" customWidth="1"/>
    <col min="1031" max="1031" width="10" customWidth="1"/>
    <col min="1033" max="1033" width="45.28515625" customWidth="1"/>
    <col min="1034" max="1034" width="0.42578125" customWidth="1"/>
    <col min="1035" max="1035" width="4.42578125" customWidth="1"/>
    <col min="1041" max="1041" width="10.28515625" customWidth="1"/>
    <col min="1043" max="1043" width="47.42578125" customWidth="1"/>
    <col min="1281" max="1281" width="3.42578125" customWidth="1"/>
    <col min="1287" max="1287" width="10" customWidth="1"/>
    <col min="1289" max="1289" width="45.28515625" customWidth="1"/>
    <col min="1290" max="1290" width="0.42578125" customWidth="1"/>
    <col min="1291" max="1291" width="4.42578125" customWidth="1"/>
    <col min="1297" max="1297" width="10.28515625" customWidth="1"/>
    <col min="1299" max="1299" width="47.42578125" customWidth="1"/>
    <col min="1537" max="1537" width="3.42578125" customWidth="1"/>
    <col min="1543" max="1543" width="10" customWidth="1"/>
    <col min="1545" max="1545" width="45.28515625" customWidth="1"/>
    <col min="1546" max="1546" width="0.42578125" customWidth="1"/>
    <col min="1547" max="1547" width="4.42578125" customWidth="1"/>
    <col min="1553" max="1553" width="10.28515625" customWidth="1"/>
    <col min="1555" max="1555" width="47.42578125" customWidth="1"/>
    <col min="1793" max="1793" width="3.42578125" customWidth="1"/>
    <col min="1799" max="1799" width="10" customWidth="1"/>
    <col min="1801" max="1801" width="45.28515625" customWidth="1"/>
    <col min="1802" max="1802" width="0.42578125" customWidth="1"/>
    <col min="1803" max="1803" width="4.42578125" customWidth="1"/>
    <col min="1809" max="1809" width="10.28515625" customWidth="1"/>
    <col min="1811" max="1811" width="47.42578125" customWidth="1"/>
    <col min="2049" max="2049" width="3.42578125" customWidth="1"/>
    <col min="2055" max="2055" width="10" customWidth="1"/>
    <col min="2057" max="2057" width="45.28515625" customWidth="1"/>
    <col min="2058" max="2058" width="0.42578125" customWidth="1"/>
    <col min="2059" max="2059" width="4.42578125" customWidth="1"/>
    <col min="2065" max="2065" width="10.28515625" customWidth="1"/>
    <col min="2067" max="2067" width="47.42578125" customWidth="1"/>
    <col min="2305" max="2305" width="3.42578125" customWidth="1"/>
    <col min="2311" max="2311" width="10" customWidth="1"/>
    <col min="2313" max="2313" width="45.28515625" customWidth="1"/>
    <col min="2314" max="2314" width="0.42578125" customWidth="1"/>
    <col min="2315" max="2315" width="4.42578125" customWidth="1"/>
    <col min="2321" max="2321" width="10.28515625" customWidth="1"/>
    <col min="2323" max="2323" width="47.42578125" customWidth="1"/>
    <col min="2561" max="2561" width="3.42578125" customWidth="1"/>
    <col min="2567" max="2567" width="10" customWidth="1"/>
    <col min="2569" max="2569" width="45.28515625" customWidth="1"/>
    <col min="2570" max="2570" width="0.42578125" customWidth="1"/>
    <col min="2571" max="2571" width="4.42578125" customWidth="1"/>
    <col min="2577" max="2577" width="10.28515625" customWidth="1"/>
    <col min="2579" max="2579" width="47.42578125" customWidth="1"/>
    <col min="2817" max="2817" width="3.42578125" customWidth="1"/>
    <col min="2823" max="2823" width="10" customWidth="1"/>
    <col min="2825" max="2825" width="45.28515625" customWidth="1"/>
    <col min="2826" max="2826" width="0.42578125" customWidth="1"/>
    <col min="2827" max="2827" width="4.42578125" customWidth="1"/>
    <col min="2833" max="2833" width="10.28515625" customWidth="1"/>
    <col min="2835" max="2835" width="47.42578125" customWidth="1"/>
    <col min="3073" max="3073" width="3.42578125" customWidth="1"/>
    <col min="3079" max="3079" width="10" customWidth="1"/>
    <col min="3081" max="3081" width="45.28515625" customWidth="1"/>
    <col min="3082" max="3082" width="0.42578125" customWidth="1"/>
    <col min="3083" max="3083" width="4.42578125" customWidth="1"/>
    <col min="3089" max="3089" width="10.28515625" customWidth="1"/>
    <col min="3091" max="3091" width="47.42578125" customWidth="1"/>
    <col min="3329" max="3329" width="3.42578125" customWidth="1"/>
    <col min="3335" max="3335" width="10" customWidth="1"/>
    <col min="3337" max="3337" width="45.28515625" customWidth="1"/>
    <col min="3338" max="3338" width="0.42578125" customWidth="1"/>
    <col min="3339" max="3339" width="4.42578125" customWidth="1"/>
    <col min="3345" max="3345" width="10.28515625" customWidth="1"/>
    <col min="3347" max="3347" width="47.42578125" customWidth="1"/>
    <col min="3585" max="3585" width="3.42578125" customWidth="1"/>
    <col min="3591" max="3591" width="10" customWidth="1"/>
    <col min="3593" max="3593" width="45.28515625" customWidth="1"/>
    <col min="3594" max="3594" width="0.42578125" customWidth="1"/>
    <col min="3595" max="3595" width="4.42578125" customWidth="1"/>
    <col min="3601" max="3601" width="10.28515625" customWidth="1"/>
    <col min="3603" max="3603" width="47.42578125" customWidth="1"/>
    <col min="3841" max="3841" width="3.42578125" customWidth="1"/>
    <col min="3847" max="3847" width="10" customWidth="1"/>
    <col min="3849" max="3849" width="45.28515625" customWidth="1"/>
    <col min="3850" max="3850" width="0.42578125" customWidth="1"/>
    <col min="3851" max="3851" width="4.42578125" customWidth="1"/>
    <col min="3857" max="3857" width="10.28515625" customWidth="1"/>
    <col min="3859" max="3859" width="47.42578125" customWidth="1"/>
    <col min="4097" max="4097" width="3.42578125" customWidth="1"/>
    <col min="4103" max="4103" width="10" customWidth="1"/>
    <col min="4105" max="4105" width="45.28515625" customWidth="1"/>
    <col min="4106" max="4106" width="0.42578125" customWidth="1"/>
    <col min="4107" max="4107" width="4.42578125" customWidth="1"/>
    <col min="4113" max="4113" width="10.28515625" customWidth="1"/>
    <col min="4115" max="4115" width="47.42578125" customWidth="1"/>
    <col min="4353" max="4353" width="3.42578125" customWidth="1"/>
    <col min="4359" max="4359" width="10" customWidth="1"/>
    <col min="4361" max="4361" width="45.28515625" customWidth="1"/>
    <col min="4362" max="4362" width="0.42578125" customWidth="1"/>
    <col min="4363" max="4363" width="4.42578125" customWidth="1"/>
    <col min="4369" max="4369" width="10.28515625" customWidth="1"/>
    <col min="4371" max="4371" width="47.42578125" customWidth="1"/>
    <col min="4609" max="4609" width="3.42578125" customWidth="1"/>
    <col min="4615" max="4615" width="10" customWidth="1"/>
    <col min="4617" max="4617" width="45.28515625" customWidth="1"/>
    <col min="4618" max="4618" width="0.42578125" customWidth="1"/>
    <col min="4619" max="4619" width="4.42578125" customWidth="1"/>
    <col min="4625" max="4625" width="10.28515625" customWidth="1"/>
    <col min="4627" max="4627" width="47.42578125" customWidth="1"/>
    <col min="4865" max="4865" width="3.42578125" customWidth="1"/>
    <col min="4871" max="4871" width="10" customWidth="1"/>
    <col min="4873" max="4873" width="45.28515625" customWidth="1"/>
    <col min="4874" max="4874" width="0.42578125" customWidth="1"/>
    <col min="4875" max="4875" width="4.42578125" customWidth="1"/>
    <col min="4881" max="4881" width="10.28515625" customWidth="1"/>
    <col min="4883" max="4883" width="47.42578125" customWidth="1"/>
    <col min="5121" max="5121" width="3.42578125" customWidth="1"/>
    <col min="5127" max="5127" width="10" customWidth="1"/>
    <col min="5129" max="5129" width="45.28515625" customWidth="1"/>
    <col min="5130" max="5130" width="0.42578125" customWidth="1"/>
    <col min="5131" max="5131" width="4.42578125" customWidth="1"/>
    <col min="5137" max="5137" width="10.28515625" customWidth="1"/>
    <col min="5139" max="5139" width="47.42578125" customWidth="1"/>
    <col min="5377" max="5377" width="3.42578125" customWidth="1"/>
    <col min="5383" max="5383" width="10" customWidth="1"/>
    <col min="5385" max="5385" width="45.28515625" customWidth="1"/>
    <col min="5386" max="5386" width="0.42578125" customWidth="1"/>
    <col min="5387" max="5387" width="4.42578125" customWidth="1"/>
    <col min="5393" max="5393" width="10.28515625" customWidth="1"/>
    <col min="5395" max="5395" width="47.42578125" customWidth="1"/>
    <col min="5633" max="5633" width="3.42578125" customWidth="1"/>
    <col min="5639" max="5639" width="10" customWidth="1"/>
    <col min="5641" max="5641" width="45.28515625" customWidth="1"/>
    <col min="5642" max="5642" width="0.42578125" customWidth="1"/>
    <col min="5643" max="5643" width="4.42578125" customWidth="1"/>
    <col min="5649" max="5649" width="10.28515625" customWidth="1"/>
    <col min="5651" max="5651" width="47.42578125" customWidth="1"/>
    <col min="5889" max="5889" width="3.42578125" customWidth="1"/>
    <col min="5895" max="5895" width="10" customWidth="1"/>
    <col min="5897" max="5897" width="45.28515625" customWidth="1"/>
    <col min="5898" max="5898" width="0.42578125" customWidth="1"/>
    <col min="5899" max="5899" width="4.42578125" customWidth="1"/>
    <col min="5905" max="5905" width="10.28515625" customWidth="1"/>
    <col min="5907" max="5907" width="47.42578125" customWidth="1"/>
    <col min="6145" max="6145" width="3.42578125" customWidth="1"/>
    <col min="6151" max="6151" width="10" customWidth="1"/>
    <col min="6153" max="6153" width="45.28515625" customWidth="1"/>
    <col min="6154" max="6154" width="0.42578125" customWidth="1"/>
    <col min="6155" max="6155" width="4.42578125" customWidth="1"/>
    <col min="6161" max="6161" width="10.28515625" customWidth="1"/>
    <col min="6163" max="6163" width="47.42578125" customWidth="1"/>
    <col min="6401" max="6401" width="3.42578125" customWidth="1"/>
    <col min="6407" max="6407" width="10" customWidth="1"/>
    <col min="6409" max="6409" width="45.28515625" customWidth="1"/>
    <col min="6410" max="6410" width="0.42578125" customWidth="1"/>
    <col min="6411" max="6411" width="4.42578125" customWidth="1"/>
    <col min="6417" max="6417" width="10.28515625" customWidth="1"/>
    <col min="6419" max="6419" width="47.42578125" customWidth="1"/>
    <col min="6657" max="6657" width="3.42578125" customWidth="1"/>
    <col min="6663" max="6663" width="10" customWidth="1"/>
    <col min="6665" max="6665" width="45.28515625" customWidth="1"/>
    <col min="6666" max="6666" width="0.42578125" customWidth="1"/>
    <col min="6667" max="6667" width="4.42578125" customWidth="1"/>
    <col min="6673" max="6673" width="10.28515625" customWidth="1"/>
    <col min="6675" max="6675" width="47.42578125" customWidth="1"/>
    <col min="6913" max="6913" width="3.42578125" customWidth="1"/>
    <col min="6919" max="6919" width="10" customWidth="1"/>
    <col min="6921" max="6921" width="45.28515625" customWidth="1"/>
    <col min="6922" max="6922" width="0.42578125" customWidth="1"/>
    <col min="6923" max="6923" width="4.42578125" customWidth="1"/>
    <col min="6929" max="6929" width="10.28515625" customWidth="1"/>
    <col min="6931" max="6931" width="47.42578125" customWidth="1"/>
    <col min="7169" max="7169" width="3.42578125" customWidth="1"/>
    <col min="7175" max="7175" width="10" customWidth="1"/>
    <col min="7177" max="7177" width="45.28515625" customWidth="1"/>
    <col min="7178" max="7178" width="0.42578125" customWidth="1"/>
    <col min="7179" max="7179" width="4.42578125" customWidth="1"/>
    <col min="7185" max="7185" width="10.28515625" customWidth="1"/>
    <col min="7187" max="7187" width="47.42578125" customWidth="1"/>
    <col min="7425" max="7425" width="3.42578125" customWidth="1"/>
    <col min="7431" max="7431" width="10" customWidth="1"/>
    <col min="7433" max="7433" width="45.28515625" customWidth="1"/>
    <col min="7434" max="7434" width="0.42578125" customWidth="1"/>
    <col min="7435" max="7435" width="4.42578125" customWidth="1"/>
    <col min="7441" max="7441" width="10.28515625" customWidth="1"/>
    <col min="7443" max="7443" width="47.42578125" customWidth="1"/>
    <col min="7681" max="7681" width="3.42578125" customWidth="1"/>
    <col min="7687" max="7687" width="10" customWidth="1"/>
    <col min="7689" max="7689" width="45.28515625" customWidth="1"/>
    <col min="7690" max="7690" width="0.42578125" customWidth="1"/>
    <col min="7691" max="7691" width="4.42578125" customWidth="1"/>
    <col min="7697" max="7697" width="10.28515625" customWidth="1"/>
    <col min="7699" max="7699" width="47.42578125" customWidth="1"/>
    <col min="7937" max="7937" width="3.42578125" customWidth="1"/>
    <col min="7943" max="7943" width="10" customWidth="1"/>
    <col min="7945" max="7945" width="45.28515625" customWidth="1"/>
    <col min="7946" max="7946" width="0.42578125" customWidth="1"/>
    <col min="7947" max="7947" width="4.42578125" customWidth="1"/>
    <col min="7953" max="7953" width="10.28515625" customWidth="1"/>
    <col min="7955" max="7955" width="47.42578125" customWidth="1"/>
    <col min="8193" max="8193" width="3.42578125" customWidth="1"/>
    <col min="8199" max="8199" width="10" customWidth="1"/>
    <col min="8201" max="8201" width="45.28515625" customWidth="1"/>
    <col min="8202" max="8202" width="0.42578125" customWidth="1"/>
    <col min="8203" max="8203" width="4.42578125" customWidth="1"/>
    <col min="8209" max="8209" width="10.28515625" customWidth="1"/>
    <col min="8211" max="8211" width="47.42578125" customWidth="1"/>
    <col min="8449" max="8449" width="3.42578125" customWidth="1"/>
    <col min="8455" max="8455" width="10" customWidth="1"/>
    <col min="8457" max="8457" width="45.28515625" customWidth="1"/>
    <col min="8458" max="8458" width="0.42578125" customWidth="1"/>
    <col min="8459" max="8459" width="4.42578125" customWidth="1"/>
    <col min="8465" max="8465" width="10.28515625" customWidth="1"/>
    <col min="8467" max="8467" width="47.42578125" customWidth="1"/>
    <col min="8705" max="8705" width="3.42578125" customWidth="1"/>
    <col min="8711" max="8711" width="10" customWidth="1"/>
    <col min="8713" max="8713" width="45.28515625" customWidth="1"/>
    <col min="8714" max="8714" width="0.42578125" customWidth="1"/>
    <col min="8715" max="8715" width="4.42578125" customWidth="1"/>
    <col min="8721" max="8721" width="10.28515625" customWidth="1"/>
    <col min="8723" max="8723" width="47.42578125" customWidth="1"/>
    <col min="8961" max="8961" width="3.42578125" customWidth="1"/>
    <col min="8967" max="8967" width="10" customWidth="1"/>
    <col min="8969" max="8969" width="45.28515625" customWidth="1"/>
    <col min="8970" max="8970" width="0.42578125" customWidth="1"/>
    <col min="8971" max="8971" width="4.42578125" customWidth="1"/>
    <col min="8977" max="8977" width="10.28515625" customWidth="1"/>
    <col min="8979" max="8979" width="47.42578125" customWidth="1"/>
    <col min="9217" max="9217" width="3.42578125" customWidth="1"/>
    <col min="9223" max="9223" width="10" customWidth="1"/>
    <col min="9225" max="9225" width="45.28515625" customWidth="1"/>
    <col min="9226" max="9226" width="0.42578125" customWidth="1"/>
    <col min="9227" max="9227" width="4.42578125" customWidth="1"/>
    <col min="9233" max="9233" width="10.28515625" customWidth="1"/>
    <col min="9235" max="9235" width="47.42578125" customWidth="1"/>
    <col min="9473" max="9473" width="3.42578125" customWidth="1"/>
    <col min="9479" max="9479" width="10" customWidth="1"/>
    <col min="9481" max="9481" width="45.28515625" customWidth="1"/>
    <col min="9482" max="9482" width="0.42578125" customWidth="1"/>
    <col min="9483" max="9483" width="4.42578125" customWidth="1"/>
    <col min="9489" max="9489" width="10.28515625" customWidth="1"/>
    <col min="9491" max="9491" width="47.42578125" customWidth="1"/>
    <col min="9729" max="9729" width="3.42578125" customWidth="1"/>
    <col min="9735" max="9735" width="10" customWidth="1"/>
    <col min="9737" max="9737" width="45.28515625" customWidth="1"/>
    <col min="9738" max="9738" width="0.42578125" customWidth="1"/>
    <col min="9739" max="9739" width="4.42578125" customWidth="1"/>
    <col min="9745" max="9745" width="10.28515625" customWidth="1"/>
    <col min="9747" max="9747" width="47.42578125" customWidth="1"/>
    <col min="9985" max="9985" width="3.42578125" customWidth="1"/>
    <col min="9991" max="9991" width="10" customWidth="1"/>
    <col min="9993" max="9993" width="45.28515625" customWidth="1"/>
    <col min="9994" max="9994" width="0.42578125" customWidth="1"/>
    <col min="9995" max="9995" width="4.42578125" customWidth="1"/>
    <col min="10001" max="10001" width="10.28515625" customWidth="1"/>
    <col min="10003" max="10003" width="47.42578125" customWidth="1"/>
    <col min="10241" max="10241" width="3.42578125" customWidth="1"/>
    <col min="10247" max="10247" width="10" customWidth="1"/>
    <col min="10249" max="10249" width="45.28515625" customWidth="1"/>
    <col min="10250" max="10250" width="0.42578125" customWidth="1"/>
    <col min="10251" max="10251" width="4.42578125" customWidth="1"/>
    <col min="10257" max="10257" width="10.28515625" customWidth="1"/>
    <col min="10259" max="10259" width="47.42578125" customWidth="1"/>
    <col min="10497" max="10497" width="3.42578125" customWidth="1"/>
    <col min="10503" max="10503" width="10" customWidth="1"/>
    <col min="10505" max="10505" width="45.28515625" customWidth="1"/>
    <col min="10506" max="10506" width="0.42578125" customWidth="1"/>
    <col min="10507" max="10507" width="4.42578125" customWidth="1"/>
    <col min="10513" max="10513" width="10.28515625" customWidth="1"/>
    <col min="10515" max="10515" width="47.42578125" customWidth="1"/>
    <col min="10753" max="10753" width="3.42578125" customWidth="1"/>
    <col min="10759" max="10759" width="10" customWidth="1"/>
    <col min="10761" max="10761" width="45.28515625" customWidth="1"/>
    <col min="10762" max="10762" width="0.42578125" customWidth="1"/>
    <col min="10763" max="10763" width="4.42578125" customWidth="1"/>
    <col min="10769" max="10769" width="10.28515625" customWidth="1"/>
    <col min="10771" max="10771" width="47.42578125" customWidth="1"/>
    <col min="11009" max="11009" width="3.42578125" customWidth="1"/>
    <col min="11015" max="11015" width="10" customWidth="1"/>
    <col min="11017" max="11017" width="45.28515625" customWidth="1"/>
    <col min="11018" max="11018" width="0.42578125" customWidth="1"/>
    <col min="11019" max="11019" width="4.42578125" customWidth="1"/>
    <col min="11025" max="11025" width="10.28515625" customWidth="1"/>
    <col min="11027" max="11027" width="47.42578125" customWidth="1"/>
    <col min="11265" max="11265" width="3.42578125" customWidth="1"/>
    <col min="11271" max="11271" width="10" customWidth="1"/>
    <col min="11273" max="11273" width="45.28515625" customWidth="1"/>
    <col min="11274" max="11274" width="0.42578125" customWidth="1"/>
    <col min="11275" max="11275" width="4.42578125" customWidth="1"/>
    <col min="11281" max="11281" width="10.28515625" customWidth="1"/>
    <col min="11283" max="11283" width="47.42578125" customWidth="1"/>
    <col min="11521" max="11521" width="3.42578125" customWidth="1"/>
    <col min="11527" max="11527" width="10" customWidth="1"/>
    <col min="11529" max="11529" width="45.28515625" customWidth="1"/>
    <col min="11530" max="11530" width="0.42578125" customWidth="1"/>
    <col min="11531" max="11531" width="4.42578125" customWidth="1"/>
    <col min="11537" max="11537" width="10.28515625" customWidth="1"/>
    <col min="11539" max="11539" width="47.42578125" customWidth="1"/>
    <col min="11777" max="11777" width="3.42578125" customWidth="1"/>
    <col min="11783" max="11783" width="10" customWidth="1"/>
    <col min="11785" max="11785" width="45.28515625" customWidth="1"/>
    <col min="11786" max="11786" width="0.42578125" customWidth="1"/>
    <col min="11787" max="11787" width="4.42578125" customWidth="1"/>
    <col min="11793" max="11793" width="10.28515625" customWidth="1"/>
    <col min="11795" max="11795" width="47.42578125" customWidth="1"/>
    <col min="12033" max="12033" width="3.42578125" customWidth="1"/>
    <col min="12039" max="12039" width="10" customWidth="1"/>
    <col min="12041" max="12041" width="45.28515625" customWidth="1"/>
    <col min="12042" max="12042" width="0.42578125" customWidth="1"/>
    <col min="12043" max="12043" width="4.42578125" customWidth="1"/>
    <col min="12049" max="12049" width="10.28515625" customWidth="1"/>
    <col min="12051" max="12051" width="47.42578125" customWidth="1"/>
    <col min="12289" max="12289" width="3.42578125" customWidth="1"/>
    <col min="12295" max="12295" width="10" customWidth="1"/>
    <col min="12297" max="12297" width="45.28515625" customWidth="1"/>
    <col min="12298" max="12298" width="0.42578125" customWidth="1"/>
    <col min="12299" max="12299" width="4.42578125" customWidth="1"/>
    <col min="12305" max="12305" width="10.28515625" customWidth="1"/>
    <col min="12307" max="12307" width="47.42578125" customWidth="1"/>
    <col min="12545" max="12545" width="3.42578125" customWidth="1"/>
    <col min="12551" max="12551" width="10" customWidth="1"/>
    <col min="12553" max="12553" width="45.28515625" customWidth="1"/>
    <col min="12554" max="12554" width="0.42578125" customWidth="1"/>
    <col min="12555" max="12555" width="4.42578125" customWidth="1"/>
    <col min="12561" max="12561" width="10.28515625" customWidth="1"/>
    <col min="12563" max="12563" width="47.42578125" customWidth="1"/>
    <col min="12801" max="12801" width="3.42578125" customWidth="1"/>
    <col min="12807" max="12807" width="10" customWidth="1"/>
    <col min="12809" max="12809" width="45.28515625" customWidth="1"/>
    <col min="12810" max="12810" width="0.42578125" customWidth="1"/>
    <col min="12811" max="12811" width="4.42578125" customWidth="1"/>
    <col min="12817" max="12817" width="10.28515625" customWidth="1"/>
    <col min="12819" max="12819" width="47.42578125" customWidth="1"/>
    <col min="13057" max="13057" width="3.42578125" customWidth="1"/>
    <col min="13063" max="13063" width="10" customWidth="1"/>
    <col min="13065" max="13065" width="45.28515625" customWidth="1"/>
    <col min="13066" max="13066" width="0.42578125" customWidth="1"/>
    <col min="13067" max="13067" width="4.42578125" customWidth="1"/>
    <col min="13073" max="13073" width="10.28515625" customWidth="1"/>
    <col min="13075" max="13075" width="47.42578125" customWidth="1"/>
    <col min="13313" max="13313" width="3.42578125" customWidth="1"/>
    <col min="13319" max="13319" width="10" customWidth="1"/>
    <col min="13321" max="13321" width="45.28515625" customWidth="1"/>
    <col min="13322" max="13322" width="0.42578125" customWidth="1"/>
    <col min="13323" max="13323" width="4.42578125" customWidth="1"/>
    <col min="13329" max="13329" width="10.28515625" customWidth="1"/>
    <col min="13331" max="13331" width="47.42578125" customWidth="1"/>
    <col min="13569" max="13569" width="3.42578125" customWidth="1"/>
    <col min="13575" max="13575" width="10" customWidth="1"/>
    <col min="13577" max="13577" width="45.28515625" customWidth="1"/>
    <col min="13578" max="13578" width="0.42578125" customWidth="1"/>
    <col min="13579" max="13579" width="4.42578125" customWidth="1"/>
    <col min="13585" max="13585" width="10.28515625" customWidth="1"/>
    <col min="13587" max="13587" width="47.42578125" customWidth="1"/>
    <col min="13825" max="13825" width="3.42578125" customWidth="1"/>
    <col min="13831" max="13831" width="10" customWidth="1"/>
    <col min="13833" max="13833" width="45.28515625" customWidth="1"/>
    <col min="13834" max="13834" width="0.42578125" customWidth="1"/>
    <col min="13835" max="13835" width="4.42578125" customWidth="1"/>
    <col min="13841" max="13841" width="10.28515625" customWidth="1"/>
    <col min="13843" max="13843" width="47.42578125" customWidth="1"/>
    <col min="14081" max="14081" width="3.42578125" customWidth="1"/>
    <col min="14087" max="14087" width="10" customWidth="1"/>
    <col min="14089" max="14089" width="45.28515625" customWidth="1"/>
    <col min="14090" max="14090" width="0.42578125" customWidth="1"/>
    <col min="14091" max="14091" width="4.42578125" customWidth="1"/>
    <col min="14097" max="14097" width="10.28515625" customWidth="1"/>
    <col min="14099" max="14099" width="47.42578125" customWidth="1"/>
    <col min="14337" max="14337" width="3.42578125" customWidth="1"/>
    <col min="14343" max="14343" width="10" customWidth="1"/>
    <col min="14345" max="14345" width="45.28515625" customWidth="1"/>
    <col min="14346" max="14346" width="0.42578125" customWidth="1"/>
    <col min="14347" max="14347" width="4.42578125" customWidth="1"/>
    <col min="14353" max="14353" width="10.28515625" customWidth="1"/>
    <col min="14355" max="14355" width="47.42578125" customWidth="1"/>
    <col min="14593" max="14593" width="3.42578125" customWidth="1"/>
    <col min="14599" max="14599" width="10" customWidth="1"/>
    <col min="14601" max="14601" width="45.28515625" customWidth="1"/>
    <col min="14602" max="14602" width="0.42578125" customWidth="1"/>
    <col min="14603" max="14603" width="4.42578125" customWidth="1"/>
    <col min="14609" max="14609" width="10.28515625" customWidth="1"/>
    <col min="14611" max="14611" width="47.42578125" customWidth="1"/>
    <col min="14849" max="14849" width="3.42578125" customWidth="1"/>
    <col min="14855" max="14855" width="10" customWidth="1"/>
    <col min="14857" max="14857" width="45.28515625" customWidth="1"/>
    <col min="14858" max="14858" width="0.42578125" customWidth="1"/>
    <col min="14859" max="14859" width="4.42578125" customWidth="1"/>
    <col min="14865" max="14865" width="10.28515625" customWidth="1"/>
    <col min="14867" max="14867" width="47.42578125" customWidth="1"/>
    <col min="15105" max="15105" width="3.42578125" customWidth="1"/>
    <col min="15111" max="15111" width="10" customWidth="1"/>
    <col min="15113" max="15113" width="45.28515625" customWidth="1"/>
    <col min="15114" max="15114" width="0.42578125" customWidth="1"/>
    <col min="15115" max="15115" width="4.42578125" customWidth="1"/>
    <col min="15121" max="15121" width="10.28515625" customWidth="1"/>
    <col min="15123" max="15123" width="47.42578125" customWidth="1"/>
    <col min="15361" max="15361" width="3.42578125" customWidth="1"/>
    <col min="15367" max="15367" width="10" customWidth="1"/>
    <col min="15369" max="15369" width="45.28515625" customWidth="1"/>
    <col min="15370" max="15370" width="0.42578125" customWidth="1"/>
    <col min="15371" max="15371" width="4.42578125" customWidth="1"/>
    <col min="15377" max="15377" width="10.28515625" customWidth="1"/>
    <col min="15379" max="15379" width="47.42578125" customWidth="1"/>
    <col min="15617" max="15617" width="3.42578125" customWidth="1"/>
    <col min="15623" max="15623" width="10" customWidth="1"/>
    <col min="15625" max="15625" width="45.28515625" customWidth="1"/>
    <col min="15626" max="15626" width="0.42578125" customWidth="1"/>
    <col min="15627" max="15627" width="4.42578125" customWidth="1"/>
    <col min="15633" max="15633" width="10.28515625" customWidth="1"/>
    <col min="15635" max="15635" width="47.42578125" customWidth="1"/>
    <col min="15873" max="15873" width="3.42578125" customWidth="1"/>
    <col min="15879" max="15879" width="10" customWidth="1"/>
    <col min="15881" max="15881" width="45.28515625" customWidth="1"/>
    <col min="15882" max="15882" width="0.42578125" customWidth="1"/>
    <col min="15883" max="15883" width="4.42578125" customWidth="1"/>
    <col min="15889" max="15889" width="10.28515625" customWidth="1"/>
    <col min="15891" max="15891" width="47.42578125" customWidth="1"/>
    <col min="16129" max="16129" width="3.42578125" customWidth="1"/>
    <col min="16135" max="16135" width="10" customWidth="1"/>
    <col min="16137" max="16137" width="45.28515625" customWidth="1"/>
    <col min="16138" max="16138" width="0.42578125" customWidth="1"/>
    <col min="16139" max="16139" width="4.42578125" customWidth="1"/>
    <col min="16145" max="16145" width="10.28515625" customWidth="1"/>
    <col min="16147" max="16147" width="47.4257812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701</v>
      </c>
      <c r="E2" s="3"/>
      <c r="F2" s="3"/>
      <c r="G2" s="3"/>
      <c r="H2" s="3"/>
      <c r="I2" s="3"/>
      <c r="K2" s="3" t="s">
        <v>205</v>
      </c>
      <c r="L2" s="3"/>
      <c r="M2" s="3"/>
      <c r="N2" s="3" t="s">
        <v>262</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6258.1</v>
      </c>
      <c r="G4" s="3" t="s">
        <v>207</v>
      </c>
      <c r="H4" s="3"/>
      <c r="I4" s="3"/>
      <c r="J4" s="3"/>
      <c r="K4" s="3"/>
      <c r="L4" s="5" t="s">
        <v>206</v>
      </c>
      <c r="M4" s="3"/>
      <c r="N4" s="3"/>
      <c r="O4" s="3"/>
      <c r="P4" s="3">
        <v>6902</v>
      </c>
      <c r="Q4" s="3" t="s">
        <v>207</v>
      </c>
      <c r="R4" s="3"/>
      <c r="S4" s="3"/>
    </row>
    <row r="5" spans="1:19" ht="15" customHeight="1" x14ac:dyDescent="0.25">
      <c r="A5" s="175" t="s">
        <v>209</v>
      </c>
      <c r="B5" s="177" t="s">
        <v>210</v>
      </c>
      <c r="C5" s="178"/>
      <c r="D5" s="178"/>
      <c r="E5" s="178"/>
      <c r="F5" s="178"/>
      <c r="G5" s="180" t="s">
        <v>441</v>
      </c>
      <c r="H5" s="181"/>
      <c r="I5" s="175" t="s">
        <v>212</v>
      </c>
      <c r="J5" s="31"/>
      <c r="K5" s="175" t="s">
        <v>209</v>
      </c>
      <c r="L5" s="177" t="s">
        <v>210</v>
      </c>
      <c r="M5" s="178"/>
      <c r="N5" s="178"/>
      <c r="O5" s="178"/>
      <c r="P5" s="178"/>
      <c r="Q5" s="180" t="s">
        <v>441</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138889.74</v>
      </c>
      <c r="H7" s="191"/>
      <c r="I7" s="192"/>
      <c r="J7" s="33"/>
      <c r="K7" s="185" t="s">
        <v>213</v>
      </c>
      <c r="L7" s="187" t="s">
        <v>354</v>
      </c>
      <c r="M7" s="188"/>
      <c r="N7" s="188"/>
      <c r="O7" s="188"/>
      <c r="P7" s="188"/>
      <c r="Q7" s="190">
        <v>245985.07</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1.64*12*F4</f>
        <v>123159.40800000001</v>
      </c>
      <c r="H9" s="164"/>
      <c r="I9" s="169" t="s">
        <v>215</v>
      </c>
      <c r="J9" s="35"/>
      <c r="K9" s="6"/>
      <c r="L9" s="161" t="s">
        <v>214</v>
      </c>
      <c r="M9" s="162"/>
      <c r="N9" s="162"/>
      <c r="O9" s="162"/>
      <c r="P9" s="162"/>
      <c r="Q9" s="163">
        <f>1.94*12*P4</f>
        <v>160678.56</v>
      </c>
      <c r="R9" s="164"/>
      <c r="S9" s="169" t="s">
        <v>215</v>
      </c>
    </row>
    <row r="10" spans="1:19" ht="13.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8" customHeight="1" thickBot="1" x14ac:dyDescent="0.3">
      <c r="A12" s="7"/>
      <c r="B12" s="141" t="s">
        <v>219</v>
      </c>
      <c r="C12" s="142"/>
      <c r="D12" s="142"/>
      <c r="E12" s="142"/>
      <c r="F12" s="142"/>
      <c r="G12" s="143">
        <f>1748.85*4*12</f>
        <v>83944.799999999988</v>
      </c>
      <c r="H12" s="144"/>
      <c r="I12" s="8" t="s">
        <v>220</v>
      </c>
      <c r="J12" s="37"/>
      <c r="K12" s="7"/>
      <c r="L12" s="141" t="s">
        <v>219</v>
      </c>
      <c r="M12" s="142"/>
      <c r="N12" s="142"/>
      <c r="O12" s="142"/>
      <c r="P12" s="142"/>
      <c r="Q12" s="143">
        <f>2600*2*12</f>
        <v>62400</v>
      </c>
      <c r="R12" s="144"/>
      <c r="S12" s="8" t="s">
        <v>220</v>
      </c>
    </row>
    <row r="13" spans="1:19" ht="13.5" customHeight="1" thickBot="1" x14ac:dyDescent="0.3">
      <c r="A13" s="7"/>
      <c r="B13" s="141" t="s">
        <v>221</v>
      </c>
      <c r="C13" s="142"/>
      <c r="D13" s="142"/>
      <c r="E13" s="142"/>
      <c r="F13" s="142"/>
      <c r="G13" s="143">
        <f>0.474*F4*12</f>
        <v>35596.072799999994</v>
      </c>
      <c r="H13" s="144"/>
      <c r="I13" s="8" t="s">
        <v>222</v>
      </c>
      <c r="J13" s="38"/>
      <c r="K13" s="7"/>
      <c r="L13" s="141" t="s">
        <v>221</v>
      </c>
      <c r="M13" s="142"/>
      <c r="N13" s="142"/>
      <c r="O13" s="142"/>
      <c r="P13" s="142"/>
      <c r="Q13" s="143">
        <f>0.474*12*P4</f>
        <v>39258.576000000001</v>
      </c>
      <c r="R13" s="144"/>
      <c r="S13" s="8" t="s">
        <v>222</v>
      </c>
    </row>
    <row r="14" spans="1:19" ht="13.5" customHeight="1" x14ac:dyDescent="0.25">
      <c r="A14" s="9"/>
      <c r="B14" s="145" t="s">
        <v>223</v>
      </c>
      <c r="C14" s="146"/>
      <c r="D14" s="146"/>
      <c r="E14" s="146"/>
      <c r="F14" s="146"/>
      <c r="G14" s="86">
        <f>1.53*12*F4</f>
        <v>114898.716</v>
      </c>
      <c r="H14" s="147"/>
      <c r="I14" s="152" t="s">
        <v>224</v>
      </c>
      <c r="J14" s="38"/>
      <c r="K14" s="9"/>
      <c r="L14" s="145" t="s">
        <v>223</v>
      </c>
      <c r="M14" s="146"/>
      <c r="N14" s="146"/>
      <c r="O14" s="146"/>
      <c r="P14" s="146"/>
      <c r="Q14" s="86">
        <f>2.19*12*P4</f>
        <v>181384.56</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0.048*12*F4</f>
        <v>3604.6656000000007</v>
      </c>
      <c r="H18" s="87"/>
      <c r="I18" s="129" t="s">
        <v>220</v>
      </c>
      <c r="J18" s="36"/>
      <c r="K18" s="12"/>
      <c r="L18" s="125" t="s">
        <v>230</v>
      </c>
      <c r="M18" s="126"/>
      <c r="N18" s="126"/>
      <c r="O18" s="126"/>
      <c r="P18" s="126"/>
      <c r="Q18" s="86">
        <f>0.048*12*P4</f>
        <v>3975.5520000000006</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36.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55.5" customHeight="1" thickBot="1" x14ac:dyDescent="0.3">
      <c r="A21" s="13"/>
      <c r="B21" s="84" t="s">
        <v>233</v>
      </c>
      <c r="C21" s="85"/>
      <c r="D21" s="85"/>
      <c r="E21" s="85"/>
      <c r="F21" s="85"/>
      <c r="G21" s="86">
        <f>1.42*12*F4</f>
        <v>106638.024</v>
      </c>
      <c r="H21" s="87"/>
      <c r="I21" s="317" t="s">
        <v>479</v>
      </c>
      <c r="J21" s="41"/>
      <c r="K21" s="13"/>
      <c r="L21" s="84" t="s">
        <v>233</v>
      </c>
      <c r="M21" s="85"/>
      <c r="N21" s="85"/>
      <c r="O21" s="85"/>
      <c r="P21" s="85"/>
      <c r="Q21" s="86">
        <f>1.67*12*P4</f>
        <v>138316.07999999999</v>
      </c>
      <c r="R21" s="87"/>
      <c r="S21" s="317" t="s">
        <v>480</v>
      </c>
    </row>
    <row r="22" spans="1:19" ht="57" customHeight="1" x14ac:dyDescent="0.25">
      <c r="A22" s="118"/>
      <c r="B22" s="121" t="s">
        <v>226</v>
      </c>
      <c r="C22" s="122"/>
      <c r="D22" s="122"/>
      <c r="E22" s="122"/>
      <c r="F22" s="122"/>
      <c r="G22" s="88"/>
      <c r="H22" s="89"/>
      <c r="I22" s="318"/>
      <c r="J22" s="41"/>
      <c r="K22" s="118"/>
      <c r="L22" s="121" t="s">
        <v>226</v>
      </c>
      <c r="M22" s="122"/>
      <c r="N22" s="122"/>
      <c r="O22" s="122"/>
      <c r="P22" s="122"/>
      <c r="Q22" s="88"/>
      <c r="R22" s="89"/>
      <c r="S22" s="318"/>
    </row>
    <row r="23" spans="1:19" ht="57.75" customHeight="1" x14ac:dyDescent="0.25">
      <c r="A23" s="119"/>
      <c r="B23" s="121" t="s">
        <v>227</v>
      </c>
      <c r="C23" s="122"/>
      <c r="D23" s="122"/>
      <c r="E23" s="122"/>
      <c r="F23" s="122"/>
      <c r="G23" s="88"/>
      <c r="H23" s="89"/>
      <c r="I23" s="318"/>
      <c r="J23" s="42"/>
      <c r="K23" s="119"/>
      <c r="L23" s="121" t="s">
        <v>227</v>
      </c>
      <c r="M23" s="122"/>
      <c r="N23" s="122"/>
      <c r="O23" s="122"/>
      <c r="P23" s="122"/>
      <c r="Q23" s="88"/>
      <c r="R23" s="89"/>
      <c r="S23" s="318"/>
    </row>
    <row r="24" spans="1:19" ht="64.5" customHeight="1" x14ac:dyDescent="0.25">
      <c r="A24" s="119"/>
      <c r="B24" s="121" t="s">
        <v>228</v>
      </c>
      <c r="C24" s="122"/>
      <c r="D24" s="122"/>
      <c r="E24" s="122"/>
      <c r="F24" s="122"/>
      <c r="G24" s="88"/>
      <c r="H24" s="89"/>
      <c r="I24" s="318"/>
      <c r="J24" s="43"/>
      <c r="K24" s="119"/>
      <c r="L24" s="121" t="s">
        <v>228</v>
      </c>
      <c r="M24" s="122"/>
      <c r="N24" s="122"/>
      <c r="O24" s="122"/>
      <c r="P24" s="122"/>
      <c r="Q24" s="88"/>
      <c r="R24" s="89"/>
      <c r="S24" s="318"/>
    </row>
    <row r="25" spans="1:19" ht="46.5" customHeight="1" thickBot="1" x14ac:dyDescent="0.3">
      <c r="A25" s="120"/>
      <c r="B25" s="123" t="s">
        <v>234</v>
      </c>
      <c r="C25" s="124"/>
      <c r="D25" s="124"/>
      <c r="E25" s="124"/>
      <c r="F25" s="124"/>
      <c r="G25" s="90"/>
      <c r="H25" s="91"/>
      <c r="I25" s="319"/>
      <c r="J25" s="44"/>
      <c r="K25" s="120"/>
      <c r="L25" s="123" t="s">
        <v>234</v>
      </c>
      <c r="M25" s="124"/>
      <c r="N25" s="124"/>
      <c r="O25" s="124"/>
      <c r="P25" s="124"/>
      <c r="Q25" s="90"/>
      <c r="R25" s="91"/>
      <c r="S25" s="319"/>
    </row>
    <row r="26" spans="1:19" ht="2.25" hidden="1" customHeight="1" x14ac:dyDescent="0.25">
      <c r="A26" s="15"/>
      <c r="B26" s="137" t="s">
        <v>248</v>
      </c>
      <c r="C26" s="138"/>
      <c r="D26" s="138"/>
      <c r="E26" s="138"/>
      <c r="F26" s="138"/>
      <c r="G26" s="139"/>
      <c r="H26" s="140"/>
      <c r="I26" s="16"/>
      <c r="J26" s="40"/>
      <c r="K26" s="15"/>
      <c r="L26" s="137" t="s">
        <v>248</v>
      </c>
      <c r="M26" s="138"/>
      <c r="N26" s="138"/>
      <c r="O26" s="138"/>
      <c r="P26" s="138"/>
      <c r="Q26" s="139"/>
      <c r="R26" s="140"/>
      <c r="S26" s="16"/>
    </row>
    <row r="27" spans="1:19" ht="27.75" customHeight="1" thickBot="1" x14ac:dyDescent="0.3">
      <c r="A27" s="15"/>
      <c r="B27" s="137" t="s">
        <v>235</v>
      </c>
      <c r="C27" s="138"/>
      <c r="D27" s="138"/>
      <c r="E27" s="138"/>
      <c r="F27" s="138"/>
      <c r="G27" s="139"/>
      <c r="H27" s="140"/>
      <c r="I27" s="16"/>
      <c r="J27" s="45"/>
      <c r="K27" s="15"/>
      <c r="L27" s="137" t="s">
        <v>235</v>
      </c>
      <c r="M27" s="138"/>
      <c r="N27" s="138"/>
      <c r="O27" s="138"/>
      <c r="P27" s="138"/>
      <c r="Q27" s="139"/>
      <c r="R27" s="140"/>
      <c r="S27" s="16"/>
    </row>
    <row r="28" spans="1:19" ht="36.75" customHeight="1" thickBot="1" x14ac:dyDescent="0.3">
      <c r="A28" s="17"/>
      <c r="B28" s="78" t="s">
        <v>237</v>
      </c>
      <c r="C28" s="79"/>
      <c r="D28" s="79"/>
      <c r="E28" s="79"/>
      <c r="F28" s="79"/>
      <c r="G28" s="86">
        <f>17916+10946</f>
        <v>28862</v>
      </c>
      <c r="H28" s="87"/>
      <c r="I28" s="108" t="s">
        <v>229</v>
      </c>
      <c r="J28" s="41"/>
      <c r="K28" s="17"/>
      <c r="L28" s="78" t="s">
        <v>237</v>
      </c>
      <c r="M28" s="79"/>
      <c r="N28" s="79"/>
      <c r="O28" s="79"/>
      <c r="P28" s="79"/>
      <c r="Q28" s="86">
        <f>35506+3180</f>
        <v>38686</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496703.68640000001</v>
      </c>
      <c r="H30" s="115"/>
      <c r="I30" s="20"/>
      <c r="J30" s="47"/>
      <c r="K30" s="19"/>
      <c r="L30" s="112" t="s">
        <v>239</v>
      </c>
      <c r="M30" s="113"/>
      <c r="N30" s="113"/>
      <c r="O30" s="113"/>
      <c r="P30" s="113"/>
      <c r="Q30" s="114">
        <f>SUM(Q9:R29)</f>
        <v>624699.32799999998</v>
      </c>
      <c r="R30" s="115"/>
      <c r="S30" s="20"/>
    </row>
    <row r="31" spans="1:19" ht="23.25" customHeight="1" thickBot="1" x14ac:dyDescent="0.3">
      <c r="A31" s="21"/>
      <c r="B31" s="101" t="s">
        <v>240</v>
      </c>
      <c r="C31" s="102"/>
      <c r="D31" s="102"/>
      <c r="E31" s="102"/>
      <c r="F31" s="102"/>
      <c r="G31" s="116">
        <f>G30*1.2</f>
        <v>596044.42368000001</v>
      </c>
      <c r="H31" s="117"/>
      <c r="I31" s="22"/>
      <c r="J31" s="47"/>
      <c r="K31" s="21"/>
      <c r="L31" s="101" t="s">
        <v>240</v>
      </c>
      <c r="M31" s="102"/>
      <c r="N31" s="102"/>
      <c r="O31" s="102"/>
      <c r="P31" s="102"/>
      <c r="Q31" s="116">
        <f>Q30*1.2</f>
        <v>749639.1936</v>
      </c>
      <c r="R31" s="117"/>
      <c r="S31" s="22"/>
    </row>
    <row r="32" spans="1:19" ht="23.25" customHeight="1" thickBot="1" x14ac:dyDescent="0.3">
      <c r="A32" s="24"/>
      <c r="B32" s="96" t="s">
        <v>446</v>
      </c>
      <c r="C32" s="97"/>
      <c r="D32" s="97"/>
      <c r="E32" s="97"/>
      <c r="F32" s="97"/>
      <c r="G32" s="311">
        <v>592768.84</v>
      </c>
      <c r="H32" s="312"/>
      <c r="I32" s="313"/>
      <c r="J32" s="47"/>
      <c r="K32" s="24"/>
      <c r="L32" s="96" t="s">
        <v>446</v>
      </c>
      <c r="M32" s="97"/>
      <c r="N32" s="97"/>
      <c r="O32" s="97"/>
      <c r="P32" s="97"/>
      <c r="Q32" s="311">
        <v>749159.62</v>
      </c>
      <c r="R32" s="312"/>
      <c r="S32" s="313"/>
    </row>
    <row r="33" spans="1:19" ht="23.25" customHeight="1" thickBot="1" x14ac:dyDescent="0.3">
      <c r="A33" s="19"/>
      <c r="B33" s="101" t="s">
        <v>242</v>
      </c>
      <c r="C33" s="102"/>
      <c r="D33" s="102"/>
      <c r="E33" s="102"/>
      <c r="F33" s="102"/>
      <c r="G33" s="307">
        <v>597537.41</v>
      </c>
      <c r="H33" s="308"/>
      <c r="I33" s="309"/>
      <c r="J33" s="48"/>
      <c r="K33" s="19"/>
      <c r="L33" s="101" t="s">
        <v>242</v>
      </c>
      <c r="M33" s="102"/>
      <c r="N33" s="102"/>
      <c r="O33" s="102"/>
      <c r="P33" s="102"/>
      <c r="Q33" s="307">
        <v>768015.89</v>
      </c>
      <c r="R33" s="308"/>
      <c r="S33" s="309"/>
    </row>
    <row r="34" spans="1:19" ht="23.25" customHeight="1" thickBot="1" x14ac:dyDescent="0.3">
      <c r="A34" s="19"/>
      <c r="B34" s="106" t="s">
        <v>444</v>
      </c>
      <c r="C34" s="107"/>
      <c r="D34" s="107"/>
      <c r="E34" s="107"/>
      <c r="F34" s="107"/>
      <c r="G34" s="307">
        <v>134121.17000000001</v>
      </c>
      <c r="H34" s="308"/>
      <c r="I34" s="309"/>
      <c r="J34" s="49"/>
      <c r="K34" s="19"/>
      <c r="L34" s="106" t="s">
        <v>444</v>
      </c>
      <c r="M34" s="107"/>
      <c r="N34" s="107"/>
      <c r="O34" s="107"/>
      <c r="P34" s="107"/>
      <c r="Q34" s="307">
        <v>227128.8</v>
      </c>
      <c r="R34" s="308"/>
      <c r="S34" s="309"/>
    </row>
    <row r="35" spans="1:19" ht="70.5" customHeight="1" x14ac:dyDescent="0.25">
      <c r="A35" s="4"/>
      <c r="B35" s="310"/>
      <c r="C35" s="310"/>
      <c r="D35" s="310"/>
      <c r="E35" s="310"/>
      <c r="F35" s="310"/>
      <c r="G35" s="310"/>
      <c r="H35" s="310"/>
      <c r="I35" s="310"/>
      <c r="K35" s="4"/>
      <c r="L35" s="310"/>
      <c r="M35" s="310"/>
      <c r="N35" s="310"/>
      <c r="O35" s="310"/>
      <c r="P35" s="310"/>
      <c r="Q35" s="310"/>
      <c r="R35" s="310"/>
      <c r="S35" s="310"/>
    </row>
    <row r="36" spans="1:19" ht="15.75" x14ac:dyDescent="0.25">
      <c r="A36" s="30"/>
      <c r="C36" s="30"/>
      <c r="K36" s="30"/>
      <c r="N36" s="30"/>
    </row>
    <row r="37" spans="1:19" x14ac:dyDescent="0.25">
      <c r="A37" s="3"/>
      <c r="B37" s="3"/>
      <c r="C37" s="3"/>
      <c r="D37" s="3"/>
      <c r="E37" s="4" t="s">
        <v>204</v>
      </c>
      <c r="F37" s="3"/>
      <c r="G37" s="3"/>
      <c r="H37" s="3"/>
      <c r="I37" s="3"/>
      <c r="K37" s="3"/>
      <c r="L37" s="3"/>
      <c r="M37" s="3"/>
      <c r="N37" s="3"/>
      <c r="O37" s="4" t="s">
        <v>204</v>
      </c>
      <c r="P37" s="3"/>
      <c r="Q37" s="3"/>
      <c r="R37" s="3"/>
      <c r="S37" s="3"/>
    </row>
    <row r="38" spans="1:19" x14ac:dyDescent="0.25">
      <c r="A38" s="3" t="s">
        <v>205</v>
      </c>
      <c r="B38" s="3"/>
      <c r="C38" s="3"/>
      <c r="D38" s="3" t="s">
        <v>263</v>
      </c>
      <c r="E38" s="3"/>
      <c r="F38" s="3"/>
      <c r="G38" s="3"/>
      <c r="H38" s="3"/>
      <c r="I38" s="3"/>
      <c r="K38" s="3" t="s">
        <v>205</v>
      </c>
      <c r="L38" s="3"/>
      <c r="M38" s="3"/>
      <c r="N38" s="3" t="s">
        <v>264</v>
      </c>
      <c r="O38" s="3"/>
      <c r="P38" s="3"/>
      <c r="Q38" s="3"/>
      <c r="R38" s="3"/>
      <c r="S38" s="3"/>
    </row>
    <row r="39" spans="1:19" x14ac:dyDescent="0.25">
      <c r="A39" s="3"/>
      <c r="B39" s="5" t="s">
        <v>440</v>
      </c>
      <c r="C39" s="3"/>
      <c r="D39" s="3"/>
      <c r="E39" s="3"/>
      <c r="F39" s="3"/>
      <c r="G39" s="3"/>
      <c r="H39" s="3"/>
      <c r="I39" s="3"/>
      <c r="J39" s="3"/>
      <c r="K39" s="3"/>
      <c r="L39" s="5" t="s">
        <v>440</v>
      </c>
      <c r="M39" s="3"/>
      <c r="N39" s="3"/>
      <c r="O39" s="3"/>
      <c r="P39" s="3"/>
      <c r="Q39" s="3"/>
      <c r="R39" s="3"/>
      <c r="S39" s="3"/>
    </row>
    <row r="40" spans="1:19" ht="15.75" thickBot="1" x14ac:dyDescent="0.3">
      <c r="A40" s="3"/>
      <c r="B40" s="5" t="s">
        <v>206</v>
      </c>
      <c r="C40" s="3"/>
      <c r="D40" s="3"/>
      <c r="E40" s="3"/>
      <c r="F40" s="3">
        <v>4659.8999999999996</v>
      </c>
      <c r="G40" s="3" t="s">
        <v>207</v>
      </c>
      <c r="H40" s="3"/>
      <c r="I40" s="3"/>
      <c r="J40" s="3"/>
      <c r="K40" s="3"/>
      <c r="L40" s="5" t="s">
        <v>206</v>
      </c>
      <c r="M40" s="3"/>
      <c r="N40" s="3"/>
      <c r="O40" s="3"/>
      <c r="P40" s="3">
        <v>6829</v>
      </c>
      <c r="Q40" s="3" t="s">
        <v>207</v>
      </c>
      <c r="R40" s="3"/>
      <c r="S40" s="3"/>
    </row>
    <row r="41" spans="1:19" ht="15" customHeight="1" x14ac:dyDescent="0.25">
      <c r="A41" s="175" t="s">
        <v>209</v>
      </c>
      <c r="B41" s="177" t="s">
        <v>210</v>
      </c>
      <c r="C41" s="178"/>
      <c r="D41" s="178"/>
      <c r="E41" s="178"/>
      <c r="F41" s="178"/>
      <c r="G41" s="180" t="s">
        <v>442</v>
      </c>
      <c r="H41" s="181"/>
      <c r="I41" s="175" t="s">
        <v>212</v>
      </c>
      <c r="J41" s="51"/>
      <c r="K41" s="175" t="s">
        <v>209</v>
      </c>
      <c r="L41" s="177" t="s">
        <v>210</v>
      </c>
      <c r="M41" s="178"/>
      <c r="N41" s="178"/>
      <c r="O41" s="178"/>
      <c r="P41" s="178"/>
      <c r="Q41" s="180" t="s">
        <v>441</v>
      </c>
      <c r="R41" s="181"/>
      <c r="S41" s="175" t="s">
        <v>212</v>
      </c>
    </row>
    <row r="42" spans="1:19" ht="69" customHeight="1" thickBot="1" x14ac:dyDescent="0.3">
      <c r="A42" s="176"/>
      <c r="B42" s="179"/>
      <c r="C42" s="179"/>
      <c r="D42" s="179"/>
      <c r="E42" s="179"/>
      <c r="F42" s="179"/>
      <c r="G42" s="182"/>
      <c r="H42" s="183"/>
      <c r="I42" s="184"/>
      <c r="J42" s="52"/>
      <c r="K42" s="176"/>
      <c r="L42" s="179"/>
      <c r="M42" s="179"/>
      <c r="N42" s="179"/>
      <c r="O42" s="179"/>
      <c r="P42" s="179"/>
      <c r="Q42" s="182"/>
      <c r="R42" s="183"/>
      <c r="S42" s="184"/>
    </row>
    <row r="43" spans="1:19" ht="15" customHeight="1" x14ac:dyDescent="0.25">
      <c r="A43" s="185" t="s">
        <v>213</v>
      </c>
      <c r="B43" s="187" t="s">
        <v>354</v>
      </c>
      <c r="C43" s="188"/>
      <c r="D43" s="188"/>
      <c r="E43" s="188"/>
      <c r="F43" s="188"/>
      <c r="G43" s="190">
        <v>143752</v>
      </c>
      <c r="H43" s="191"/>
      <c r="I43" s="192"/>
      <c r="J43" s="53"/>
      <c r="K43" s="185" t="s">
        <v>213</v>
      </c>
      <c r="L43" s="187" t="s">
        <v>354</v>
      </c>
      <c r="M43" s="188"/>
      <c r="N43" s="188"/>
      <c r="O43" s="188"/>
      <c r="P43" s="188"/>
      <c r="Q43" s="190">
        <v>151981.29999999999</v>
      </c>
      <c r="R43" s="191"/>
      <c r="S43" s="192"/>
    </row>
    <row r="44" spans="1:19" ht="7.5" customHeight="1" thickBot="1" x14ac:dyDescent="0.3">
      <c r="A44" s="186"/>
      <c r="B44" s="189"/>
      <c r="C44" s="189"/>
      <c r="D44" s="189"/>
      <c r="E44" s="189"/>
      <c r="F44" s="189"/>
      <c r="G44" s="193"/>
      <c r="H44" s="194"/>
      <c r="I44" s="128"/>
      <c r="J44" s="54"/>
      <c r="K44" s="186"/>
      <c r="L44" s="189"/>
      <c r="M44" s="189"/>
      <c r="N44" s="189"/>
      <c r="O44" s="189"/>
      <c r="P44" s="189"/>
      <c r="Q44" s="193"/>
      <c r="R44" s="194"/>
      <c r="S44" s="128"/>
    </row>
    <row r="45" spans="1:19" ht="17.25" customHeight="1" x14ac:dyDescent="0.25">
      <c r="A45" s="6"/>
      <c r="B45" s="161" t="s">
        <v>214</v>
      </c>
      <c r="C45" s="162"/>
      <c r="D45" s="162"/>
      <c r="E45" s="162"/>
      <c r="F45" s="162"/>
      <c r="G45" s="163">
        <f>1.79*12*F40</f>
        <v>100094.65199999999</v>
      </c>
      <c r="H45" s="164"/>
      <c r="I45" s="169" t="s">
        <v>215</v>
      </c>
      <c r="J45" s="42"/>
      <c r="K45" s="6"/>
      <c r="L45" s="161" t="s">
        <v>214</v>
      </c>
      <c r="M45" s="162"/>
      <c r="N45" s="162"/>
      <c r="O45" s="162"/>
      <c r="P45" s="162"/>
      <c r="Q45" s="163">
        <f>1.84*12*P40</f>
        <v>150784.32000000001</v>
      </c>
      <c r="R45" s="164"/>
      <c r="S45" s="169" t="s">
        <v>215</v>
      </c>
    </row>
    <row r="46" spans="1:19" ht="13.5" customHeight="1" thickBot="1" x14ac:dyDescent="0.3">
      <c r="A46" s="7"/>
      <c r="B46" s="171" t="s">
        <v>216</v>
      </c>
      <c r="C46" s="172"/>
      <c r="D46" s="172"/>
      <c r="E46" s="172"/>
      <c r="F46" s="172"/>
      <c r="G46" s="165"/>
      <c r="H46" s="166"/>
      <c r="I46" s="170"/>
      <c r="J46" s="43"/>
      <c r="K46" s="7"/>
      <c r="L46" s="171" t="s">
        <v>216</v>
      </c>
      <c r="M46" s="172"/>
      <c r="N46" s="172"/>
      <c r="O46" s="172"/>
      <c r="P46" s="172"/>
      <c r="Q46" s="165"/>
      <c r="R46" s="166"/>
      <c r="S46" s="170"/>
    </row>
    <row r="47" spans="1:19" ht="13.5" customHeight="1" thickBot="1" x14ac:dyDescent="0.3">
      <c r="A47" s="7"/>
      <c r="B47" s="173" t="s">
        <v>217</v>
      </c>
      <c r="C47" s="174"/>
      <c r="D47" s="174"/>
      <c r="E47" s="174"/>
      <c r="F47" s="174"/>
      <c r="G47" s="167"/>
      <c r="H47" s="168"/>
      <c r="I47" s="8" t="s">
        <v>218</v>
      </c>
      <c r="J47" s="43"/>
      <c r="K47" s="7"/>
      <c r="L47" s="173" t="s">
        <v>217</v>
      </c>
      <c r="M47" s="174"/>
      <c r="N47" s="174"/>
      <c r="O47" s="174"/>
      <c r="P47" s="174"/>
      <c r="Q47" s="167"/>
      <c r="R47" s="168"/>
      <c r="S47" s="8" t="s">
        <v>218</v>
      </c>
    </row>
    <row r="48" spans="1:19" ht="13.5" customHeight="1" thickBot="1" x14ac:dyDescent="0.3">
      <c r="A48" s="7"/>
      <c r="B48" s="141" t="s">
        <v>219</v>
      </c>
      <c r="C48" s="142"/>
      <c r="D48" s="142"/>
      <c r="E48" s="142"/>
      <c r="F48" s="142"/>
      <c r="G48" s="143">
        <v>0</v>
      </c>
      <c r="H48" s="144"/>
      <c r="I48" s="8" t="s">
        <v>220</v>
      </c>
      <c r="J48" s="55"/>
      <c r="K48" s="7"/>
      <c r="L48" s="141" t="s">
        <v>219</v>
      </c>
      <c r="M48" s="142"/>
      <c r="N48" s="142"/>
      <c r="O48" s="142"/>
      <c r="P48" s="142"/>
      <c r="Q48" s="143">
        <f>2600*2*12</f>
        <v>62400</v>
      </c>
      <c r="R48" s="144"/>
      <c r="S48" s="8" t="s">
        <v>220</v>
      </c>
    </row>
    <row r="49" spans="1:19" ht="13.5" customHeight="1" thickBot="1" x14ac:dyDescent="0.3">
      <c r="A49" s="7"/>
      <c r="B49" s="141" t="s">
        <v>221</v>
      </c>
      <c r="C49" s="142"/>
      <c r="D49" s="142"/>
      <c r="E49" s="142"/>
      <c r="F49" s="142"/>
      <c r="G49" s="143">
        <f>0.474*12*F40</f>
        <v>26505.511199999997</v>
      </c>
      <c r="H49" s="144"/>
      <c r="I49" s="8" t="s">
        <v>222</v>
      </c>
      <c r="J49" s="56"/>
      <c r="K49" s="7"/>
      <c r="L49" s="141" t="s">
        <v>221</v>
      </c>
      <c r="M49" s="142"/>
      <c r="N49" s="142"/>
      <c r="O49" s="142"/>
      <c r="P49" s="142"/>
      <c r="Q49" s="143">
        <f>0.474*12*P40</f>
        <v>38843.351999999999</v>
      </c>
      <c r="R49" s="144"/>
      <c r="S49" s="8" t="s">
        <v>222</v>
      </c>
    </row>
    <row r="50" spans="1:19" ht="13.5" customHeight="1" x14ac:dyDescent="0.25">
      <c r="A50" s="9"/>
      <c r="B50" s="145" t="s">
        <v>223</v>
      </c>
      <c r="C50" s="146"/>
      <c r="D50" s="146"/>
      <c r="E50" s="146"/>
      <c r="F50" s="146"/>
      <c r="G50" s="86">
        <f>2.17*12*F40</f>
        <v>121343.79599999999</v>
      </c>
      <c r="H50" s="147"/>
      <c r="I50" s="152" t="s">
        <v>224</v>
      </c>
      <c r="J50" s="56"/>
      <c r="K50" s="9"/>
      <c r="L50" s="145" t="s">
        <v>223</v>
      </c>
      <c r="M50" s="146"/>
      <c r="N50" s="146"/>
      <c r="O50" s="146"/>
      <c r="P50" s="146"/>
      <c r="Q50" s="86">
        <f>1.983*12*P40</f>
        <v>162502.88399999999</v>
      </c>
      <c r="R50" s="147"/>
      <c r="S50" s="152" t="s">
        <v>224</v>
      </c>
    </row>
    <row r="51" spans="1:19" ht="13.5" customHeight="1" x14ac:dyDescent="0.25">
      <c r="A51" s="10"/>
      <c r="B51" s="155" t="s">
        <v>226</v>
      </c>
      <c r="C51" s="156"/>
      <c r="D51" s="156"/>
      <c r="E51" s="156"/>
      <c r="F51" s="156"/>
      <c r="G51" s="148"/>
      <c r="H51" s="149"/>
      <c r="I51" s="153"/>
      <c r="J51" s="57"/>
      <c r="K51" s="10"/>
      <c r="L51" s="155" t="s">
        <v>226</v>
      </c>
      <c r="M51" s="156"/>
      <c r="N51" s="156"/>
      <c r="O51" s="156"/>
      <c r="P51" s="156"/>
      <c r="Q51" s="148"/>
      <c r="R51" s="149"/>
      <c r="S51" s="153"/>
    </row>
    <row r="52" spans="1:19" ht="13.5" customHeight="1" thickBot="1" x14ac:dyDescent="0.3">
      <c r="A52" s="10"/>
      <c r="B52" s="157" t="s">
        <v>227</v>
      </c>
      <c r="C52" s="158"/>
      <c r="D52" s="158"/>
      <c r="E52" s="158"/>
      <c r="F52" s="158"/>
      <c r="G52" s="148"/>
      <c r="H52" s="149"/>
      <c r="I52" s="154"/>
      <c r="J52" s="43"/>
      <c r="K52" s="10"/>
      <c r="L52" s="157" t="s">
        <v>227</v>
      </c>
      <c r="M52" s="158"/>
      <c r="N52" s="158"/>
      <c r="O52" s="158"/>
      <c r="P52" s="158"/>
      <c r="Q52" s="148"/>
      <c r="R52" s="149"/>
      <c r="S52" s="154"/>
    </row>
    <row r="53" spans="1:19" ht="13.5" customHeight="1" thickBot="1" x14ac:dyDescent="0.3">
      <c r="A53" s="10"/>
      <c r="B53" s="159" t="s">
        <v>228</v>
      </c>
      <c r="C53" s="160"/>
      <c r="D53" s="160"/>
      <c r="E53" s="160"/>
      <c r="F53" s="160"/>
      <c r="G53" s="150"/>
      <c r="H53" s="151"/>
      <c r="I53" s="11" t="s">
        <v>229</v>
      </c>
      <c r="J53" s="43"/>
      <c r="K53" s="10"/>
      <c r="L53" s="159" t="s">
        <v>228</v>
      </c>
      <c r="M53" s="160"/>
      <c r="N53" s="160"/>
      <c r="O53" s="160"/>
      <c r="P53" s="160"/>
      <c r="Q53" s="150"/>
      <c r="R53" s="151"/>
      <c r="S53" s="11" t="s">
        <v>229</v>
      </c>
    </row>
    <row r="54" spans="1:19" ht="13.5" customHeight="1" x14ac:dyDescent="0.25">
      <c r="A54" s="12"/>
      <c r="B54" s="125" t="s">
        <v>230</v>
      </c>
      <c r="C54" s="126"/>
      <c r="D54" s="126"/>
      <c r="E54" s="126"/>
      <c r="F54" s="126"/>
      <c r="G54" s="86">
        <f>0.048*12*F40</f>
        <v>2684.1024000000002</v>
      </c>
      <c r="H54" s="87"/>
      <c r="I54" s="129" t="s">
        <v>220</v>
      </c>
      <c r="J54" s="43"/>
      <c r="K54" s="12"/>
      <c r="L54" s="125" t="s">
        <v>230</v>
      </c>
      <c r="M54" s="126"/>
      <c r="N54" s="126"/>
      <c r="O54" s="126"/>
      <c r="P54" s="126"/>
      <c r="Q54" s="86">
        <f>0.048*12*P40</f>
        <v>3933.5040000000004</v>
      </c>
      <c r="R54" s="87"/>
      <c r="S54" s="129" t="s">
        <v>220</v>
      </c>
    </row>
    <row r="55" spans="1:19" ht="13.5" customHeight="1" thickBot="1" x14ac:dyDescent="0.3">
      <c r="A55" s="7"/>
      <c r="B55" s="131" t="s">
        <v>231</v>
      </c>
      <c r="C55" s="132"/>
      <c r="D55" s="132"/>
      <c r="E55" s="132"/>
      <c r="F55" s="132"/>
      <c r="G55" s="127"/>
      <c r="H55" s="128"/>
      <c r="I55" s="130"/>
      <c r="J55" s="43"/>
      <c r="K55" s="7"/>
      <c r="L55" s="131" t="s">
        <v>231</v>
      </c>
      <c r="M55" s="132"/>
      <c r="N55" s="132"/>
      <c r="O55" s="132"/>
      <c r="P55" s="132"/>
      <c r="Q55" s="127"/>
      <c r="R55" s="128"/>
      <c r="S55" s="130"/>
    </row>
    <row r="56" spans="1:19" ht="15.75" customHeight="1" thickBot="1" x14ac:dyDescent="0.3">
      <c r="A56" s="13"/>
      <c r="B56" s="133" t="s">
        <v>232</v>
      </c>
      <c r="C56" s="134"/>
      <c r="D56" s="134"/>
      <c r="E56" s="134"/>
      <c r="F56" s="134"/>
      <c r="G56" s="135"/>
      <c r="H56" s="136"/>
      <c r="I56" s="14"/>
      <c r="J56" s="58"/>
      <c r="K56" s="13"/>
      <c r="L56" s="133" t="s">
        <v>232</v>
      </c>
      <c r="M56" s="134"/>
      <c r="N56" s="134"/>
      <c r="O56" s="134"/>
      <c r="P56" s="134"/>
      <c r="Q56" s="135"/>
      <c r="R56" s="136"/>
      <c r="S56" s="14"/>
    </row>
    <row r="57" spans="1:19" ht="26.25" customHeight="1" thickBot="1" x14ac:dyDescent="0.3">
      <c r="A57" s="13"/>
      <c r="B57" s="84" t="s">
        <v>233</v>
      </c>
      <c r="C57" s="85"/>
      <c r="D57" s="85"/>
      <c r="E57" s="85"/>
      <c r="F57" s="85"/>
      <c r="G57" s="86">
        <f>1.57*12*F40</f>
        <v>87792.515999999989</v>
      </c>
      <c r="H57" s="87"/>
      <c r="I57" s="317" t="s">
        <v>481</v>
      </c>
      <c r="J57" s="41"/>
      <c r="K57" s="13"/>
      <c r="L57" s="84" t="s">
        <v>233</v>
      </c>
      <c r="M57" s="85"/>
      <c r="N57" s="85"/>
      <c r="O57" s="85"/>
      <c r="P57" s="85"/>
      <c r="Q57" s="86">
        <f>1.51*12*P40</f>
        <v>123741.48000000001</v>
      </c>
      <c r="R57" s="87"/>
      <c r="S57" s="317" t="s">
        <v>482</v>
      </c>
    </row>
    <row r="58" spans="1:19" ht="29.25" customHeight="1" x14ac:dyDescent="0.25">
      <c r="A58" s="118"/>
      <c r="B58" s="121" t="s">
        <v>226</v>
      </c>
      <c r="C58" s="122"/>
      <c r="D58" s="122"/>
      <c r="E58" s="122"/>
      <c r="F58" s="122"/>
      <c r="G58" s="88"/>
      <c r="H58" s="89"/>
      <c r="I58" s="318"/>
      <c r="J58" s="41"/>
      <c r="K58" s="118"/>
      <c r="L58" s="121" t="s">
        <v>226</v>
      </c>
      <c r="M58" s="122"/>
      <c r="N58" s="122"/>
      <c r="O58" s="122"/>
      <c r="P58" s="122"/>
      <c r="Q58" s="88"/>
      <c r="R58" s="89"/>
      <c r="S58" s="318"/>
    </row>
    <row r="59" spans="1:19" ht="30.75" customHeight="1" x14ac:dyDescent="0.25">
      <c r="A59" s="119"/>
      <c r="B59" s="121" t="s">
        <v>227</v>
      </c>
      <c r="C59" s="122"/>
      <c r="D59" s="122"/>
      <c r="E59" s="122"/>
      <c r="F59" s="122"/>
      <c r="G59" s="88"/>
      <c r="H59" s="89"/>
      <c r="I59" s="318"/>
      <c r="J59" s="42"/>
      <c r="K59" s="119"/>
      <c r="L59" s="121" t="s">
        <v>227</v>
      </c>
      <c r="M59" s="122"/>
      <c r="N59" s="122"/>
      <c r="O59" s="122"/>
      <c r="P59" s="122"/>
      <c r="Q59" s="88"/>
      <c r="R59" s="89"/>
      <c r="S59" s="318"/>
    </row>
    <row r="60" spans="1:19" ht="36" customHeight="1" x14ac:dyDescent="0.25">
      <c r="A60" s="119"/>
      <c r="B60" s="121" t="s">
        <v>228</v>
      </c>
      <c r="C60" s="122"/>
      <c r="D60" s="122"/>
      <c r="E60" s="122"/>
      <c r="F60" s="122"/>
      <c r="G60" s="88"/>
      <c r="H60" s="89"/>
      <c r="I60" s="318"/>
      <c r="J60" s="43"/>
      <c r="K60" s="119"/>
      <c r="L60" s="121" t="s">
        <v>228</v>
      </c>
      <c r="M60" s="122"/>
      <c r="N60" s="122"/>
      <c r="O60" s="122"/>
      <c r="P60" s="122"/>
      <c r="Q60" s="88"/>
      <c r="R60" s="89"/>
      <c r="S60" s="318"/>
    </row>
    <row r="61" spans="1:19" ht="65.25" customHeight="1" thickBot="1" x14ac:dyDescent="0.3">
      <c r="A61" s="120"/>
      <c r="B61" s="123" t="s">
        <v>234</v>
      </c>
      <c r="C61" s="124"/>
      <c r="D61" s="124"/>
      <c r="E61" s="124"/>
      <c r="F61" s="124"/>
      <c r="G61" s="90"/>
      <c r="H61" s="91"/>
      <c r="I61" s="319"/>
      <c r="J61" s="59"/>
      <c r="K61" s="120"/>
      <c r="L61" s="123" t="s">
        <v>234</v>
      </c>
      <c r="M61" s="124"/>
      <c r="N61" s="124"/>
      <c r="O61" s="124"/>
      <c r="P61" s="124"/>
      <c r="Q61" s="90"/>
      <c r="R61" s="91"/>
      <c r="S61" s="319"/>
    </row>
    <row r="62" spans="1:19" ht="0.75" customHeight="1" thickBot="1" x14ac:dyDescent="0.3">
      <c r="A62" s="15"/>
      <c r="B62" s="137"/>
      <c r="C62" s="138"/>
      <c r="D62" s="138"/>
      <c r="E62" s="138"/>
      <c r="F62" s="138"/>
      <c r="G62" s="139"/>
      <c r="H62" s="140"/>
      <c r="I62" s="16"/>
      <c r="J62" s="58"/>
      <c r="K62" s="15"/>
      <c r="L62" s="137"/>
      <c r="M62" s="138"/>
      <c r="N62" s="138"/>
      <c r="O62" s="138"/>
      <c r="P62" s="138"/>
      <c r="Q62" s="139"/>
      <c r="R62" s="140"/>
      <c r="S62" s="16"/>
    </row>
    <row r="63" spans="1:19" ht="31.5" customHeight="1" thickBot="1" x14ac:dyDescent="0.3">
      <c r="A63" s="15"/>
      <c r="B63" s="137" t="s">
        <v>235</v>
      </c>
      <c r="C63" s="138"/>
      <c r="D63" s="138"/>
      <c r="E63" s="138"/>
      <c r="F63" s="138"/>
      <c r="G63" s="139"/>
      <c r="H63" s="140"/>
      <c r="I63" s="16"/>
      <c r="J63" s="45"/>
      <c r="K63" s="15"/>
      <c r="L63" s="137" t="s">
        <v>235</v>
      </c>
      <c r="M63" s="138"/>
      <c r="N63" s="138"/>
      <c r="O63" s="138"/>
      <c r="P63" s="138"/>
      <c r="Q63" s="139"/>
      <c r="R63" s="140"/>
      <c r="S63" s="16"/>
    </row>
    <row r="64" spans="1:19" ht="15" customHeight="1" thickBot="1" x14ac:dyDescent="0.3">
      <c r="A64" s="17"/>
      <c r="B64" s="78" t="s">
        <v>237</v>
      </c>
      <c r="C64" s="79"/>
      <c r="D64" s="79"/>
      <c r="E64" s="79"/>
      <c r="F64" s="79"/>
      <c r="G64" s="86">
        <v>16574</v>
      </c>
      <c r="H64" s="87"/>
      <c r="I64" s="108" t="s">
        <v>229</v>
      </c>
      <c r="J64" s="41"/>
      <c r="K64" s="17"/>
      <c r="L64" s="78" t="s">
        <v>237</v>
      </c>
      <c r="M64" s="79"/>
      <c r="N64" s="79"/>
      <c r="O64" s="79"/>
      <c r="P64" s="79"/>
      <c r="Q64" s="86">
        <f>7759+41362</f>
        <v>49121</v>
      </c>
      <c r="R64" s="87"/>
      <c r="S64" s="108" t="s">
        <v>229</v>
      </c>
    </row>
    <row r="65" spans="1:19" ht="15.75" customHeight="1" thickBot="1" x14ac:dyDescent="0.3">
      <c r="A65" s="18"/>
      <c r="B65" s="110" t="s">
        <v>238</v>
      </c>
      <c r="C65" s="111"/>
      <c r="D65" s="111"/>
      <c r="E65" s="111"/>
      <c r="F65" s="111"/>
      <c r="G65" s="90"/>
      <c r="H65" s="91"/>
      <c r="I65" s="109"/>
      <c r="J65" s="41"/>
      <c r="K65" s="18"/>
      <c r="L65" s="110" t="s">
        <v>238</v>
      </c>
      <c r="M65" s="111"/>
      <c r="N65" s="111"/>
      <c r="O65" s="111"/>
      <c r="P65" s="111"/>
      <c r="Q65" s="90"/>
      <c r="R65" s="91"/>
      <c r="S65" s="109"/>
    </row>
    <row r="66" spans="1:19" ht="15.75" customHeight="1" thickBot="1" x14ac:dyDescent="0.3">
      <c r="A66" s="19"/>
      <c r="B66" s="112" t="s">
        <v>239</v>
      </c>
      <c r="C66" s="113"/>
      <c r="D66" s="113"/>
      <c r="E66" s="113"/>
      <c r="F66" s="113"/>
      <c r="G66" s="114">
        <f>SUM(G45:H65)</f>
        <v>354994.57759999996</v>
      </c>
      <c r="H66" s="115"/>
      <c r="I66" s="20"/>
      <c r="J66" s="60"/>
      <c r="K66" s="19"/>
      <c r="L66" s="112" t="s">
        <v>239</v>
      </c>
      <c r="M66" s="113"/>
      <c r="N66" s="113"/>
      <c r="O66" s="113"/>
      <c r="P66" s="113"/>
      <c r="Q66" s="114">
        <f>SUM(Q45:R65)</f>
        <v>591326.54</v>
      </c>
      <c r="R66" s="115"/>
      <c r="S66" s="20"/>
    </row>
    <row r="67" spans="1:19" ht="24.75" customHeight="1" thickBot="1" x14ac:dyDescent="0.3">
      <c r="A67" s="21"/>
      <c r="B67" s="101" t="s">
        <v>240</v>
      </c>
      <c r="C67" s="102"/>
      <c r="D67" s="102"/>
      <c r="E67" s="102"/>
      <c r="F67" s="102"/>
      <c r="G67" s="116">
        <f>G66*1.2</f>
        <v>425993.49311999994</v>
      </c>
      <c r="H67" s="117"/>
      <c r="I67" s="22"/>
      <c r="J67" s="60"/>
      <c r="K67" s="21"/>
      <c r="L67" s="101" t="s">
        <v>240</v>
      </c>
      <c r="M67" s="102"/>
      <c r="N67" s="102"/>
      <c r="O67" s="102"/>
      <c r="P67" s="102"/>
      <c r="Q67" s="116">
        <f>Q66*1.2</f>
        <v>709591.848</v>
      </c>
      <c r="R67" s="117"/>
      <c r="S67" s="22"/>
    </row>
    <row r="68" spans="1:19" ht="24.75" customHeight="1" thickBot="1" x14ac:dyDescent="0.3">
      <c r="A68" s="24"/>
      <c r="B68" s="96" t="s">
        <v>446</v>
      </c>
      <c r="C68" s="97"/>
      <c r="D68" s="97"/>
      <c r="E68" s="97"/>
      <c r="F68" s="97"/>
      <c r="G68" s="311">
        <v>447240.42</v>
      </c>
      <c r="H68" s="312"/>
      <c r="I68" s="313"/>
      <c r="J68" s="60"/>
      <c r="K68" s="24"/>
      <c r="L68" s="96" t="s">
        <v>446</v>
      </c>
      <c r="M68" s="97"/>
      <c r="N68" s="97"/>
      <c r="O68" s="97"/>
      <c r="P68" s="97"/>
      <c r="Q68" s="311">
        <v>714433.8</v>
      </c>
      <c r="R68" s="312"/>
      <c r="S68" s="313"/>
    </row>
    <row r="69" spans="1:19" ht="24.75" customHeight="1" thickBot="1" x14ac:dyDescent="0.3">
      <c r="A69" s="19"/>
      <c r="B69" s="101" t="s">
        <v>242</v>
      </c>
      <c r="C69" s="102"/>
      <c r="D69" s="102"/>
      <c r="E69" s="102"/>
      <c r="F69" s="102"/>
      <c r="G69" s="307">
        <v>425935.45</v>
      </c>
      <c r="H69" s="308"/>
      <c r="I69" s="309"/>
      <c r="K69" s="19"/>
      <c r="L69" s="101" t="s">
        <v>242</v>
      </c>
      <c r="M69" s="102"/>
      <c r="N69" s="102"/>
      <c r="O69" s="102"/>
      <c r="P69" s="102"/>
      <c r="Q69" s="307">
        <v>713487.09</v>
      </c>
      <c r="R69" s="308"/>
      <c r="S69" s="309"/>
    </row>
    <row r="70" spans="1:19" ht="24.75" customHeight="1" thickBot="1" x14ac:dyDescent="0.3">
      <c r="A70" s="19"/>
      <c r="B70" s="106" t="s">
        <v>444</v>
      </c>
      <c r="C70" s="107"/>
      <c r="D70" s="107"/>
      <c r="E70" s="107"/>
      <c r="F70" s="107"/>
      <c r="G70" s="307">
        <v>165056.97</v>
      </c>
      <c r="H70" s="308"/>
      <c r="I70" s="309"/>
      <c r="J70" s="61"/>
      <c r="K70" s="19"/>
      <c r="L70" s="106" t="s">
        <v>444</v>
      </c>
      <c r="M70" s="107"/>
      <c r="N70" s="107"/>
      <c r="O70" s="107"/>
      <c r="P70" s="107"/>
      <c r="Q70" s="307">
        <v>152928.01</v>
      </c>
      <c r="R70" s="308"/>
      <c r="S70" s="309"/>
    </row>
    <row r="71" spans="1:19" ht="33" customHeight="1" x14ac:dyDescent="0.25">
      <c r="A71" s="4"/>
      <c r="B71" s="316"/>
      <c r="C71" s="316"/>
      <c r="D71" s="316"/>
      <c r="E71" s="316"/>
      <c r="F71" s="316"/>
      <c r="G71" s="316"/>
      <c r="H71" s="316"/>
      <c r="I71" s="316"/>
      <c r="J71" s="3"/>
      <c r="K71" s="4"/>
      <c r="L71" s="310"/>
      <c r="M71" s="310"/>
      <c r="N71" s="310"/>
      <c r="O71" s="310"/>
      <c r="P71" s="310"/>
      <c r="Q71" s="310"/>
      <c r="R71" s="310"/>
      <c r="S71" s="310"/>
    </row>
    <row r="72" spans="1:19" ht="15.75" x14ac:dyDescent="0.25">
      <c r="A72" s="30"/>
      <c r="C72" s="30"/>
      <c r="K72" s="30"/>
      <c r="N72" s="30"/>
    </row>
    <row r="73" spans="1:19" x14ac:dyDescent="0.25">
      <c r="A73" s="3"/>
      <c r="B73" s="3"/>
      <c r="C73" s="3"/>
      <c r="D73" s="3"/>
      <c r="E73" s="4" t="s">
        <v>204</v>
      </c>
      <c r="F73" s="3"/>
      <c r="G73" s="3"/>
      <c r="H73" s="3"/>
      <c r="I73" s="3"/>
      <c r="K73" s="3"/>
      <c r="L73" s="3"/>
      <c r="M73" s="3"/>
      <c r="N73" s="3"/>
      <c r="O73" s="4" t="s">
        <v>204</v>
      </c>
      <c r="P73" s="3"/>
      <c r="Q73" s="3"/>
      <c r="R73" s="3"/>
      <c r="S73" s="3"/>
    </row>
    <row r="74" spans="1:19" x14ac:dyDescent="0.25">
      <c r="A74" s="3" t="s">
        <v>205</v>
      </c>
      <c r="B74" s="3"/>
      <c r="C74" s="3"/>
      <c r="D74" s="3" t="s">
        <v>265</v>
      </c>
      <c r="E74" s="3"/>
      <c r="F74" s="3"/>
      <c r="G74" s="3"/>
      <c r="H74" s="3"/>
      <c r="I74" s="3"/>
      <c r="K74" s="3" t="s">
        <v>205</v>
      </c>
      <c r="L74" s="3"/>
      <c r="M74" s="3"/>
      <c r="N74" s="3" t="s">
        <v>266</v>
      </c>
      <c r="O74" s="3"/>
      <c r="P74" s="3"/>
      <c r="Q74" s="3"/>
      <c r="R74" s="3"/>
      <c r="S74" s="3"/>
    </row>
    <row r="75" spans="1:19" x14ac:dyDescent="0.25">
      <c r="A75" s="3"/>
      <c r="B75" s="5" t="s">
        <v>440</v>
      </c>
      <c r="C75" s="3"/>
      <c r="D75" s="3"/>
      <c r="E75" s="3"/>
      <c r="F75" s="3"/>
      <c r="G75" s="3"/>
      <c r="H75" s="3"/>
      <c r="I75" s="3"/>
      <c r="J75" s="3"/>
      <c r="K75" s="3"/>
      <c r="L75" s="5" t="s">
        <v>440</v>
      </c>
      <c r="M75" s="3"/>
      <c r="N75" s="3"/>
      <c r="O75" s="3"/>
      <c r="P75" s="3"/>
      <c r="Q75" s="3"/>
      <c r="R75" s="3"/>
      <c r="S75" s="3"/>
    </row>
    <row r="76" spans="1:19" ht="15.75" thickBot="1" x14ac:dyDescent="0.3">
      <c r="A76" s="3"/>
      <c r="B76" s="5" t="s">
        <v>206</v>
      </c>
      <c r="C76" s="3"/>
      <c r="D76" s="3"/>
      <c r="E76" s="3"/>
      <c r="F76" s="3">
        <v>5328.7</v>
      </c>
      <c r="G76" s="3" t="s">
        <v>207</v>
      </c>
      <c r="H76" s="3"/>
      <c r="I76" s="3"/>
      <c r="J76" s="3"/>
      <c r="K76" s="3"/>
      <c r="L76" s="5" t="s">
        <v>206</v>
      </c>
      <c r="M76" s="3"/>
      <c r="N76" s="3"/>
      <c r="O76" s="3"/>
      <c r="P76" s="3">
        <v>4405</v>
      </c>
      <c r="Q76" s="3" t="s">
        <v>207</v>
      </c>
      <c r="R76" s="3"/>
      <c r="S76" s="3"/>
    </row>
    <row r="77" spans="1:19" ht="15" customHeight="1" x14ac:dyDescent="0.25">
      <c r="A77" s="175" t="s">
        <v>209</v>
      </c>
      <c r="B77" s="177" t="s">
        <v>210</v>
      </c>
      <c r="C77" s="178"/>
      <c r="D77" s="178"/>
      <c r="E77" s="178"/>
      <c r="F77" s="178"/>
      <c r="G77" s="180" t="s">
        <v>441</v>
      </c>
      <c r="H77" s="181"/>
      <c r="I77" s="175" t="s">
        <v>212</v>
      </c>
      <c r="J77" s="31"/>
      <c r="K77" s="175" t="s">
        <v>209</v>
      </c>
      <c r="L77" s="177" t="s">
        <v>210</v>
      </c>
      <c r="M77" s="178"/>
      <c r="N77" s="178"/>
      <c r="O77" s="178"/>
      <c r="P77" s="178"/>
      <c r="Q77" s="180" t="s">
        <v>441</v>
      </c>
      <c r="R77" s="181"/>
      <c r="S77" s="175" t="s">
        <v>212</v>
      </c>
    </row>
    <row r="78" spans="1:19" ht="75" customHeight="1" thickBot="1" x14ac:dyDescent="0.3">
      <c r="A78" s="176"/>
      <c r="B78" s="179"/>
      <c r="C78" s="179"/>
      <c r="D78" s="179"/>
      <c r="E78" s="179"/>
      <c r="F78" s="179"/>
      <c r="G78" s="182"/>
      <c r="H78" s="183"/>
      <c r="I78" s="184"/>
      <c r="J78" s="32"/>
      <c r="K78" s="176"/>
      <c r="L78" s="179"/>
      <c r="M78" s="179"/>
      <c r="N78" s="179"/>
      <c r="O78" s="179"/>
      <c r="P78" s="179"/>
      <c r="Q78" s="182"/>
      <c r="R78" s="183"/>
      <c r="S78" s="184"/>
    </row>
    <row r="79" spans="1:19" ht="15" customHeight="1" x14ac:dyDescent="0.25">
      <c r="A79" s="185" t="s">
        <v>213</v>
      </c>
      <c r="B79" s="187" t="s">
        <v>354</v>
      </c>
      <c r="C79" s="188"/>
      <c r="D79" s="188"/>
      <c r="E79" s="188"/>
      <c r="F79" s="188"/>
      <c r="G79" s="190">
        <v>152613.51999999999</v>
      </c>
      <c r="H79" s="191"/>
      <c r="I79" s="192"/>
      <c r="J79" s="33"/>
      <c r="K79" s="185" t="s">
        <v>213</v>
      </c>
      <c r="L79" s="187" t="s">
        <v>354</v>
      </c>
      <c r="M79" s="188"/>
      <c r="N79" s="188"/>
      <c r="O79" s="188"/>
      <c r="P79" s="188"/>
      <c r="Q79" s="190">
        <v>129494.35</v>
      </c>
      <c r="R79" s="191"/>
      <c r="S79" s="192"/>
    </row>
    <row r="80" spans="1:19" ht="5.25" customHeight="1" thickBot="1" x14ac:dyDescent="0.3">
      <c r="A80" s="186"/>
      <c r="B80" s="189"/>
      <c r="C80" s="189"/>
      <c r="D80" s="189"/>
      <c r="E80" s="189"/>
      <c r="F80" s="189"/>
      <c r="G80" s="193"/>
      <c r="H80" s="194"/>
      <c r="I80" s="128"/>
      <c r="J80" s="34"/>
      <c r="K80" s="186"/>
      <c r="L80" s="189"/>
      <c r="M80" s="189"/>
      <c r="N80" s="189"/>
      <c r="O80" s="189"/>
      <c r="P80" s="189"/>
      <c r="Q80" s="193"/>
      <c r="R80" s="194"/>
      <c r="S80" s="128"/>
    </row>
    <row r="81" spans="1:19" ht="15" customHeight="1" x14ac:dyDescent="0.25">
      <c r="A81" s="6"/>
      <c r="B81" s="161" t="s">
        <v>214</v>
      </c>
      <c r="C81" s="162"/>
      <c r="D81" s="162"/>
      <c r="E81" s="162"/>
      <c r="F81" s="162"/>
      <c r="G81" s="163">
        <f>1.52*12*F76</f>
        <v>97195.488000000012</v>
      </c>
      <c r="H81" s="164"/>
      <c r="I81" s="169" t="s">
        <v>215</v>
      </c>
      <c r="J81" s="35"/>
      <c r="K81" s="6"/>
      <c r="L81" s="161" t="s">
        <v>214</v>
      </c>
      <c r="M81" s="162"/>
      <c r="N81" s="162"/>
      <c r="O81" s="162"/>
      <c r="P81" s="162"/>
      <c r="Q81" s="163">
        <f>2.29*P76*12</f>
        <v>121049.40000000001</v>
      </c>
      <c r="R81" s="164"/>
      <c r="S81" s="169" t="s">
        <v>215</v>
      </c>
    </row>
    <row r="82" spans="1:19" ht="13.5" customHeight="1" thickBot="1" x14ac:dyDescent="0.3">
      <c r="A82" s="7"/>
      <c r="B82" s="171" t="s">
        <v>216</v>
      </c>
      <c r="C82" s="172"/>
      <c r="D82" s="172"/>
      <c r="E82" s="172"/>
      <c r="F82" s="172"/>
      <c r="G82" s="165"/>
      <c r="H82" s="166"/>
      <c r="I82" s="170"/>
      <c r="J82" s="36"/>
      <c r="K82" s="7"/>
      <c r="L82" s="171" t="s">
        <v>216</v>
      </c>
      <c r="M82" s="172"/>
      <c r="N82" s="172"/>
      <c r="O82" s="172"/>
      <c r="P82" s="172"/>
      <c r="Q82" s="165"/>
      <c r="R82" s="166"/>
      <c r="S82" s="170"/>
    </row>
    <row r="83" spans="1:19" ht="13.5" customHeight="1" thickBot="1" x14ac:dyDescent="0.3">
      <c r="A83" s="7"/>
      <c r="B83" s="173" t="s">
        <v>217</v>
      </c>
      <c r="C83" s="174"/>
      <c r="D83" s="174"/>
      <c r="E83" s="174"/>
      <c r="F83" s="174"/>
      <c r="G83" s="167"/>
      <c r="H83" s="168"/>
      <c r="I83" s="8" t="s">
        <v>218</v>
      </c>
      <c r="J83" s="36"/>
      <c r="K83" s="7"/>
      <c r="L83" s="173" t="s">
        <v>217</v>
      </c>
      <c r="M83" s="174"/>
      <c r="N83" s="174"/>
      <c r="O83" s="174"/>
      <c r="P83" s="174"/>
      <c r="Q83" s="167"/>
      <c r="R83" s="168"/>
      <c r="S83" s="8" t="s">
        <v>218</v>
      </c>
    </row>
    <row r="84" spans="1:19" ht="18" customHeight="1" thickBot="1" x14ac:dyDescent="0.3">
      <c r="A84" s="7"/>
      <c r="B84" s="141" t="s">
        <v>219</v>
      </c>
      <c r="C84" s="142"/>
      <c r="D84" s="142"/>
      <c r="E84" s="142"/>
      <c r="F84" s="142"/>
      <c r="G84" s="143">
        <f>1748.85*3*12</f>
        <v>62958.599999999991</v>
      </c>
      <c r="H84" s="144"/>
      <c r="I84" s="8" t="s">
        <v>220</v>
      </c>
      <c r="J84" s="37"/>
      <c r="K84" s="7"/>
      <c r="L84" s="141" t="s">
        <v>219</v>
      </c>
      <c r="M84" s="142"/>
      <c r="N84" s="142"/>
      <c r="O84" s="142"/>
      <c r="P84" s="142"/>
      <c r="Q84" s="143">
        <v>0</v>
      </c>
      <c r="R84" s="144"/>
      <c r="S84" s="8" t="s">
        <v>220</v>
      </c>
    </row>
    <row r="85" spans="1:19" ht="18" customHeight="1" thickBot="1" x14ac:dyDescent="0.3">
      <c r="A85" s="7"/>
      <c r="B85" s="141" t="s">
        <v>221</v>
      </c>
      <c r="C85" s="142"/>
      <c r="D85" s="142"/>
      <c r="E85" s="142"/>
      <c r="F85" s="142"/>
      <c r="G85" s="143">
        <f>0.4*12*F76</f>
        <v>25577.760000000002</v>
      </c>
      <c r="H85" s="144"/>
      <c r="I85" s="8" t="s">
        <v>222</v>
      </c>
      <c r="J85" s="38"/>
      <c r="K85" s="7"/>
      <c r="L85" s="141" t="s">
        <v>221</v>
      </c>
      <c r="M85" s="142"/>
      <c r="N85" s="142"/>
      <c r="O85" s="142"/>
      <c r="P85" s="142"/>
      <c r="Q85" s="143">
        <f>0.47*12*P76</f>
        <v>24844.199999999997</v>
      </c>
      <c r="R85" s="144"/>
      <c r="S85" s="8" t="s">
        <v>222</v>
      </c>
    </row>
    <row r="86" spans="1:19" ht="13.5" customHeight="1" x14ac:dyDescent="0.25">
      <c r="A86" s="9"/>
      <c r="B86" s="145" t="s">
        <v>223</v>
      </c>
      <c r="C86" s="146"/>
      <c r="D86" s="146"/>
      <c r="E86" s="146"/>
      <c r="F86" s="146"/>
      <c r="G86" s="86">
        <f>2.1*12*F76</f>
        <v>134283.24000000002</v>
      </c>
      <c r="H86" s="147"/>
      <c r="I86" s="152" t="s">
        <v>224</v>
      </c>
      <c r="J86" s="38"/>
      <c r="K86" s="9"/>
      <c r="L86" s="145" t="s">
        <v>223</v>
      </c>
      <c r="M86" s="146"/>
      <c r="N86" s="146"/>
      <c r="O86" s="146"/>
      <c r="P86" s="146"/>
      <c r="Q86" s="86">
        <f>2.16*12*P76</f>
        <v>114177.60000000001</v>
      </c>
      <c r="R86" s="147"/>
      <c r="S86" s="152" t="s">
        <v>224</v>
      </c>
    </row>
    <row r="87" spans="1:19" ht="13.5" customHeight="1" x14ac:dyDescent="0.25">
      <c r="A87" s="10"/>
      <c r="B87" s="155" t="s">
        <v>226</v>
      </c>
      <c r="C87" s="156"/>
      <c r="D87" s="156"/>
      <c r="E87" s="156"/>
      <c r="F87" s="156"/>
      <c r="G87" s="148"/>
      <c r="H87" s="149"/>
      <c r="I87" s="153"/>
      <c r="J87" s="39"/>
      <c r="K87" s="10"/>
      <c r="L87" s="155" t="s">
        <v>226</v>
      </c>
      <c r="M87" s="156"/>
      <c r="N87" s="156"/>
      <c r="O87" s="156"/>
      <c r="P87" s="156"/>
      <c r="Q87" s="148"/>
      <c r="R87" s="149"/>
      <c r="S87" s="153"/>
    </row>
    <row r="88" spans="1:19" ht="13.5" customHeight="1" thickBot="1" x14ac:dyDescent="0.3">
      <c r="A88" s="10"/>
      <c r="B88" s="157" t="s">
        <v>227</v>
      </c>
      <c r="C88" s="158"/>
      <c r="D88" s="158"/>
      <c r="E88" s="158"/>
      <c r="F88" s="158"/>
      <c r="G88" s="148"/>
      <c r="H88" s="149"/>
      <c r="I88" s="154"/>
      <c r="J88" s="36"/>
      <c r="K88" s="10"/>
      <c r="L88" s="157" t="s">
        <v>227</v>
      </c>
      <c r="M88" s="158"/>
      <c r="N88" s="158"/>
      <c r="O88" s="158"/>
      <c r="P88" s="158"/>
      <c r="Q88" s="148"/>
      <c r="R88" s="149"/>
      <c r="S88" s="154"/>
    </row>
    <row r="89" spans="1:19" ht="13.5" customHeight="1" thickBot="1" x14ac:dyDescent="0.3">
      <c r="A89" s="10"/>
      <c r="B89" s="159" t="s">
        <v>228</v>
      </c>
      <c r="C89" s="160"/>
      <c r="D89" s="160"/>
      <c r="E89" s="160"/>
      <c r="F89" s="160"/>
      <c r="G89" s="150"/>
      <c r="H89" s="151"/>
      <c r="I89" s="11" t="s">
        <v>229</v>
      </c>
      <c r="J89" s="36"/>
      <c r="K89" s="10"/>
      <c r="L89" s="159" t="s">
        <v>228</v>
      </c>
      <c r="M89" s="160"/>
      <c r="N89" s="160"/>
      <c r="O89" s="160"/>
      <c r="P89" s="160"/>
      <c r="Q89" s="150"/>
      <c r="R89" s="151"/>
      <c r="S89" s="11" t="s">
        <v>229</v>
      </c>
    </row>
    <row r="90" spans="1:19" ht="13.5" customHeight="1" x14ac:dyDescent="0.25">
      <c r="A90" s="12"/>
      <c r="B90" s="125" t="s">
        <v>230</v>
      </c>
      <c r="C90" s="126"/>
      <c r="D90" s="126"/>
      <c r="E90" s="126"/>
      <c r="F90" s="126"/>
      <c r="G90" s="86">
        <f>0.048*12*F76</f>
        <v>3069.3312000000001</v>
      </c>
      <c r="H90" s="87"/>
      <c r="I90" s="129" t="s">
        <v>220</v>
      </c>
      <c r="J90" s="36"/>
      <c r="K90" s="12"/>
      <c r="L90" s="125" t="s">
        <v>230</v>
      </c>
      <c r="M90" s="126"/>
      <c r="N90" s="126"/>
      <c r="O90" s="126"/>
      <c r="P90" s="126"/>
      <c r="Q90" s="86">
        <f>0.048*12*P76</f>
        <v>2537.2800000000002</v>
      </c>
      <c r="R90" s="87"/>
      <c r="S90" s="129" t="s">
        <v>220</v>
      </c>
    </row>
    <row r="91" spans="1:19" ht="13.5" customHeight="1" thickBot="1" x14ac:dyDescent="0.3">
      <c r="A91" s="7"/>
      <c r="B91" s="131" t="s">
        <v>231</v>
      </c>
      <c r="C91" s="132"/>
      <c r="D91" s="132"/>
      <c r="E91" s="132"/>
      <c r="F91" s="132"/>
      <c r="G91" s="127"/>
      <c r="H91" s="128"/>
      <c r="I91" s="130"/>
      <c r="J91" s="36"/>
      <c r="K91" s="7"/>
      <c r="L91" s="131" t="s">
        <v>231</v>
      </c>
      <c r="M91" s="132"/>
      <c r="N91" s="132"/>
      <c r="O91" s="132"/>
      <c r="P91" s="132"/>
      <c r="Q91" s="127"/>
      <c r="R91" s="128"/>
      <c r="S91" s="130"/>
    </row>
    <row r="92" spans="1:19" ht="13.5" customHeight="1" thickBot="1" x14ac:dyDescent="0.3">
      <c r="A92" s="13"/>
      <c r="B92" s="133" t="s">
        <v>232</v>
      </c>
      <c r="C92" s="134"/>
      <c r="D92" s="134"/>
      <c r="E92" s="134"/>
      <c r="F92" s="134"/>
      <c r="G92" s="135"/>
      <c r="H92" s="136"/>
      <c r="I92" s="14"/>
      <c r="J92" s="40"/>
      <c r="K92" s="13"/>
      <c r="L92" s="133" t="s">
        <v>232</v>
      </c>
      <c r="M92" s="134"/>
      <c r="N92" s="134"/>
      <c r="O92" s="134"/>
      <c r="P92" s="134"/>
      <c r="Q92" s="135"/>
      <c r="R92" s="136"/>
      <c r="S92" s="14"/>
    </row>
    <row r="93" spans="1:19" ht="36" customHeight="1" thickBot="1" x14ac:dyDescent="0.3">
      <c r="A93" s="13"/>
      <c r="B93" s="84" t="s">
        <v>233</v>
      </c>
      <c r="C93" s="85"/>
      <c r="D93" s="85"/>
      <c r="E93" s="85"/>
      <c r="F93" s="85"/>
      <c r="G93" s="86">
        <f>1.4*12*F76</f>
        <v>89522.159999999989</v>
      </c>
      <c r="H93" s="87"/>
      <c r="I93" s="299" t="s">
        <v>484</v>
      </c>
      <c r="J93" s="41"/>
      <c r="K93" s="13"/>
      <c r="L93" s="84" t="s">
        <v>233</v>
      </c>
      <c r="M93" s="85"/>
      <c r="N93" s="85"/>
      <c r="O93" s="85"/>
      <c r="P93" s="85"/>
      <c r="Q93" s="86">
        <f>1.99*12*P76</f>
        <v>105191.4</v>
      </c>
      <c r="R93" s="87"/>
      <c r="S93" s="299" t="s">
        <v>476</v>
      </c>
    </row>
    <row r="94" spans="1:19" ht="39" customHeight="1" x14ac:dyDescent="0.25">
      <c r="A94" s="118"/>
      <c r="B94" s="121" t="s">
        <v>226</v>
      </c>
      <c r="C94" s="122"/>
      <c r="D94" s="122"/>
      <c r="E94" s="122"/>
      <c r="F94" s="122"/>
      <c r="G94" s="88"/>
      <c r="H94" s="89"/>
      <c r="I94" s="300"/>
      <c r="J94" s="41"/>
      <c r="K94" s="118"/>
      <c r="L94" s="121" t="s">
        <v>226</v>
      </c>
      <c r="M94" s="122"/>
      <c r="N94" s="122"/>
      <c r="O94" s="122"/>
      <c r="P94" s="122"/>
      <c r="Q94" s="88"/>
      <c r="R94" s="89"/>
      <c r="S94" s="300"/>
    </row>
    <row r="95" spans="1:19" ht="45.75" customHeight="1" x14ac:dyDescent="0.25">
      <c r="A95" s="119"/>
      <c r="B95" s="121" t="s">
        <v>227</v>
      </c>
      <c r="C95" s="122"/>
      <c r="D95" s="122"/>
      <c r="E95" s="122"/>
      <c r="F95" s="122"/>
      <c r="G95" s="88"/>
      <c r="H95" s="89"/>
      <c r="I95" s="300"/>
      <c r="J95" s="41"/>
      <c r="K95" s="119"/>
      <c r="L95" s="121" t="s">
        <v>227</v>
      </c>
      <c r="M95" s="122"/>
      <c r="N95" s="122"/>
      <c r="O95" s="122"/>
      <c r="P95" s="122"/>
      <c r="Q95" s="88"/>
      <c r="R95" s="89"/>
      <c r="S95" s="300"/>
    </row>
    <row r="96" spans="1:19" ht="51.75" customHeight="1" x14ac:dyDescent="0.25">
      <c r="A96" s="119"/>
      <c r="B96" s="121" t="s">
        <v>228</v>
      </c>
      <c r="C96" s="122"/>
      <c r="D96" s="122"/>
      <c r="E96" s="122"/>
      <c r="F96" s="122"/>
      <c r="G96" s="88"/>
      <c r="H96" s="89"/>
      <c r="I96" s="300"/>
      <c r="J96" s="42"/>
      <c r="K96" s="119"/>
      <c r="L96" s="121" t="s">
        <v>228</v>
      </c>
      <c r="M96" s="122"/>
      <c r="N96" s="122"/>
      <c r="O96" s="122"/>
      <c r="P96" s="122"/>
      <c r="Q96" s="88"/>
      <c r="R96" s="89"/>
      <c r="S96" s="300"/>
    </row>
    <row r="97" spans="1:19" ht="86.25" customHeight="1" thickBot="1" x14ac:dyDescent="0.3">
      <c r="A97" s="120"/>
      <c r="B97" s="123" t="s">
        <v>234</v>
      </c>
      <c r="C97" s="124"/>
      <c r="D97" s="124"/>
      <c r="E97" s="124"/>
      <c r="F97" s="124"/>
      <c r="G97" s="90"/>
      <c r="H97" s="91"/>
      <c r="I97" s="301"/>
      <c r="J97" s="43"/>
      <c r="K97" s="120"/>
      <c r="L97" s="123" t="s">
        <v>234</v>
      </c>
      <c r="M97" s="124"/>
      <c r="N97" s="124"/>
      <c r="O97" s="124"/>
      <c r="P97" s="124"/>
      <c r="Q97" s="90"/>
      <c r="R97" s="91"/>
      <c r="S97" s="301"/>
    </row>
    <row r="98" spans="1:19" ht="3" customHeight="1" thickBot="1" x14ac:dyDescent="0.3">
      <c r="A98" s="15"/>
      <c r="B98" s="137" t="s">
        <v>248</v>
      </c>
      <c r="C98" s="138"/>
      <c r="D98" s="138"/>
      <c r="E98" s="138"/>
      <c r="F98" s="138"/>
      <c r="G98" s="139"/>
      <c r="H98" s="140"/>
      <c r="I98" s="16"/>
      <c r="J98" s="44"/>
      <c r="K98" s="15"/>
      <c r="L98" s="137" t="s">
        <v>248</v>
      </c>
      <c r="M98" s="138"/>
      <c r="N98" s="138"/>
      <c r="O98" s="138"/>
      <c r="P98" s="138"/>
      <c r="Q98" s="139"/>
      <c r="R98" s="140"/>
      <c r="S98" s="16"/>
    </row>
    <row r="99" spans="1:19" ht="38.25" customHeight="1" thickBot="1" x14ac:dyDescent="0.3">
      <c r="A99" s="15"/>
      <c r="B99" s="137" t="s">
        <v>235</v>
      </c>
      <c r="C99" s="138"/>
      <c r="D99" s="138"/>
      <c r="E99" s="138"/>
      <c r="F99" s="138"/>
      <c r="G99" s="139"/>
      <c r="H99" s="140"/>
      <c r="I99" s="16"/>
      <c r="J99" s="40"/>
      <c r="K99" s="15"/>
      <c r="L99" s="137" t="s">
        <v>235</v>
      </c>
      <c r="M99" s="138"/>
      <c r="N99" s="138"/>
      <c r="O99" s="138"/>
      <c r="P99" s="138"/>
      <c r="Q99" s="139"/>
      <c r="R99" s="140"/>
      <c r="S99" s="16"/>
    </row>
    <row r="100" spans="1:19" ht="31.5" customHeight="1" thickBot="1" x14ac:dyDescent="0.3">
      <c r="A100" s="17"/>
      <c r="B100" s="78" t="s">
        <v>237</v>
      </c>
      <c r="C100" s="79"/>
      <c r="D100" s="79"/>
      <c r="E100" s="79"/>
      <c r="F100" s="79"/>
      <c r="G100" s="86">
        <f>4863+15065</f>
        <v>19928</v>
      </c>
      <c r="H100" s="87"/>
      <c r="I100" s="108" t="s">
        <v>229</v>
      </c>
      <c r="J100" s="27"/>
      <c r="K100" s="17"/>
      <c r="L100" s="78" t="s">
        <v>237</v>
      </c>
      <c r="M100" s="79"/>
      <c r="N100" s="79"/>
      <c r="O100" s="79"/>
      <c r="P100" s="79"/>
      <c r="Q100" s="86">
        <v>9486</v>
      </c>
      <c r="R100" s="87"/>
      <c r="S100" s="108" t="s">
        <v>229</v>
      </c>
    </row>
    <row r="101" spans="1:19" ht="15" customHeight="1" thickBot="1" x14ac:dyDescent="0.3">
      <c r="A101" s="18"/>
      <c r="B101" s="110" t="s">
        <v>238</v>
      </c>
      <c r="C101" s="111"/>
      <c r="D101" s="111"/>
      <c r="E101" s="111"/>
      <c r="F101" s="111"/>
      <c r="G101" s="90"/>
      <c r="H101" s="91"/>
      <c r="I101" s="109"/>
      <c r="J101" s="45"/>
      <c r="K101" s="18"/>
      <c r="L101" s="110" t="s">
        <v>238</v>
      </c>
      <c r="M101" s="111"/>
      <c r="N101" s="111"/>
      <c r="O101" s="111"/>
      <c r="P101" s="111"/>
      <c r="Q101" s="90"/>
      <c r="R101" s="91"/>
      <c r="S101" s="109"/>
    </row>
    <row r="102" spans="1:19" ht="15" customHeight="1" thickBot="1" x14ac:dyDescent="0.3">
      <c r="A102" s="19"/>
      <c r="B102" s="112" t="s">
        <v>239</v>
      </c>
      <c r="C102" s="113"/>
      <c r="D102" s="113"/>
      <c r="E102" s="113"/>
      <c r="F102" s="113"/>
      <c r="G102" s="114">
        <f>SUM(G81:H101)</f>
        <v>432534.57919999998</v>
      </c>
      <c r="H102" s="115"/>
      <c r="I102" s="20"/>
      <c r="J102" s="46"/>
      <c r="K102" s="19"/>
      <c r="L102" s="112" t="s">
        <v>239</v>
      </c>
      <c r="M102" s="113"/>
      <c r="N102" s="113"/>
      <c r="O102" s="113"/>
      <c r="P102" s="113"/>
      <c r="Q102" s="114">
        <f>SUM(Q81:R101)</f>
        <v>377285.88</v>
      </c>
      <c r="R102" s="115"/>
      <c r="S102" s="20"/>
    </row>
    <row r="103" spans="1:19" ht="30.75" customHeight="1" thickBot="1" x14ac:dyDescent="0.3">
      <c r="A103" s="21"/>
      <c r="B103" s="101" t="s">
        <v>240</v>
      </c>
      <c r="C103" s="102"/>
      <c r="D103" s="102"/>
      <c r="E103" s="102"/>
      <c r="F103" s="102"/>
      <c r="G103" s="116">
        <f>G102*1.2</f>
        <v>519041.49503999995</v>
      </c>
      <c r="H103" s="117"/>
      <c r="I103" s="22"/>
      <c r="J103" s="47"/>
      <c r="K103" s="21"/>
      <c r="L103" s="101" t="s">
        <v>240</v>
      </c>
      <c r="M103" s="102"/>
      <c r="N103" s="102"/>
      <c r="O103" s="102"/>
      <c r="P103" s="102"/>
      <c r="Q103" s="116">
        <f>Q102*1.2</f>
        <v>452743.05599999998</v>
      </c>
      <c r="R103" s="117"/>
      <c r="S103" s="22"/>
    </row>
    <row r="104" spans="1:19" ht="30.75" customHeight="1" thickBot="1" x14ac:dyDescent="0.3">
      <c r="A104" s="24"/>
      <c r="B104" s="96" t="s">
        <v>446</v>
      </c>
      <c r="C104" s="97"/>
      <c r="D104" s="97"/>
      <c r="E104" s="97"/>
      <c r="F104" s="97"/>
      <c r="G104" s="311">
        <v>522215.31</v>
      </c>
      <c r="H104" s="312"/>
      <c r="I104" s="313"/>
      <c r="J104" s="47"/>
      <c r="K104" s="24"/>
      <c r="L104" s="96" t="s">
        <v>446</v>
      </c>
      <c r="M104" s="97"/>
      <c r="N104" s="97"/>
      <c r="O104" s="97"/>
      <c r="P104" s="97"/>
      <c r="Q104" s="311">
        <v>473459.82</v>
      </c>
      <c r="R104" s="312"/>
      <c r="S104" s="313"/>
    </row>
    <row r="105" spans="1:19" ht="30.75" customHeight="1" thickBot="1" x14ac:dyDescent="0.3">
      <c r="A105" s="19"/>
      <c r="B105" s="101" t="s">
        <v>242</v>
      </c>
      <c r="C105" s="102"/>
      <c r="D105" s="102"/>
      <c r="E105" s="102"/>
      <c r="F105" s="102"/>
      <c r="G105" s="307">
        <v>485225.39</v>
      </c>
      <c r="H105" s="308"/>
      <c r="I105" s="309"/>
      <c r="J105" s="47"/>
      <c r="K105" s="19"/>
      <c r="L105" s="101" t="s">
        <v>242</v>
      </c>
      <c r="M105" s="102"/>
      <c r="N105" s="102"/>
      <c r="O105" s="102"/>
      <c r="P105" s="102"/>
      <c r="Q105" s="307">
        <v>497688.11</v>
      </c>
      <c r="R105" s="308"/>
      <c r="S105" s="309"/>
    </row>
    <row r="106" spans="1:19" ht="30.75" customHeight="1" thickBot="1" x14ac:dyDescent="0.3">
      <c r="A106" s="19"/>
      <c r="B106" s="106" t="s">
        <v>444</v>
      </c>
      <c r="C106" s="107"/>
      <c r="D106" s="107"/>
      <c r="E106" s="107"/>
      <c r="F106" s="107"/>
      <c r="G106" s="307">
        <v>189603.44</v>
      </c>
      <c r="H106" s="308"/>
      <c r="I106" s="309"/>
      <c r="J106" s="47"/>
      <c r="K106" s="19"/>
      <c r="L106" s="106" t="s">
        <v>444</v>
      </c>
      <c r="M106" s="107"/>
      <c r="N106" s="107"/>
      <c r="O106" s="107"/>
      <c r="P106" s="107"/>
      <c r="Q106" s="307">
        <v>105266.06</v>
      </c>
      <c r="R106" s="308"/>
      <c r="S106" s="309"/>
    </row>
    <row r="107" spans="1:19" ht="66" customHeight="1" x14ac:dyDescent="0.25">
      <c r="A107" s="4"/>
      <c r="B107" s="310" t="s">
        <v>483</v>
      </c>
      <c r="C107" s="310"/>
      <c r="D107" s="310"/>
      <c r="E107" s="310"/>
      <c r="F107" s="310"/>
      <c r="G107" s="310"/>
      <c r="H107" s="310"/>
      <c r="I107" s="310"/>
      <c r="K107" s="4"/>
      <c r="L107" s="315"/>
      <c r="M107" s="315"/>
      <c r="N107" s="315"/>
      <c r="O107" s="315"/>
      <c r="P107" s="315"/>
      <c r="Q107" s="315"/>
      <c r="R107" s="315"/>
      <c r="S107" s="315"/>
    </row>
    <row r="108" spans="1:19" x14ac:dyDescent="0.25">
      <c r="E108" s="50"/>
      <c r="I108" s="5"/>
      <c r="O108" s="50"/>
      <c r="S108" s="5"/>
    </row>
    <row r="109" spans="1:19" ht="15.75" x14ac:dyDescent="0.25">
      <c r="B109" s="30"/>
      <c r="K109" s="30"/>
      <c r="L109" s="30"/>
    </row>
    <row r="110" spans="1:19" x14ac:dyDescent="0.25">
      <c r="A110" s="3"/>
      <c r="B110" s="3"/>
      <c r="C110" s="3"/>
      <c r="D110" s="3"/>
      <c r="E110" s="4" t="s">
        <v>204</v>
      </c>
      <c r="F110" s="3"/>
      <c r="G110" s="3"/>
      <c r="H110" s="3"/>
      <c r="I110" s="3"/>
      <c r="K110" s="3"/>
      <c r="L110" s="3"/>
      <c r="M110" s="3"/>
      <c r="N110" s="3"/>
      <c r="O110" s="4" t="s">
        <v>204</v>
      </c>
      <c r="P110" s="3"/>
      <c r="Q110" s="3"/>
      <c r="R110" s="3"/>
      <c r="S110" s="3"/>
    </row>
    <row r="111" spans="1:19" x14ac:dyDescent="0.25">
      <c r="A111" s="3" t="s">
        <v>205</v>
      </c>
      <c r="B111" s="3"/>
      <c r="C111" s="3"/>
      <c r="D111" s="3" t="s">
        <v>267</v>
      </c>
      <c r="E111" s="3"/>
      <c r="F111" s="3"/>
      <c r="G111" s="3"/>
      <c r="H111" s="3"/>
      <c r="I111" s="3"/>
      <c r="K111" s="3" t="s">
        <v>205</v>
      </c>
      <c r="L111" s="3"/>
      <c r="M111" s="3"/>
      <c r="N111" s="3" t="s">
        <v>268</v>
      </c>
      <c r="O111" s="3"/>
      <c r="P111" s="3"/>
      <c r="Q111" s="3"/>
      <c r="R111" s="3"/>
      <c r="S111" s="3"/>
    </row>
    <row r="112" spans="1:19" x14ac:dyDescent="0.25">
      <c r="A112" s="3"/>
      <c r="B112" s="5" t="s">
        <v>440</v>
      </c>
      <c r="C112" s="3"/>
      <c r="D112" s="3"/>
      <c r="E112" s="3"/>
      <c r="F112" s="3"/>
      <c r="G112" s="3"/>
      <c r="H112" s="3"/>
      <c r="I112" s="3"/>
      <c r="K112" s="3"/>
      <c r="L112" s="5" t="s">
        <v>440</v>
      </c>
      <c r="M112" s="3"/>
      <c r="N112" s="3"/>
      <c r="O112" s="3"/>
      <c r="P112" s="3"/>
      <c r="Q112" s="3"/>
      <c r="R112" s="3"/>
      <c r="S112" s="3"/>
    </row>
    <row r="113" spans="1:19" ht="15.75" thickBot="1" x14ac:dyDescent="0.3">
      <c r="A113" s="3"/>
      <c r="B113" s="5" t="s">
        <v>206</v>
      </c>
      <c r="C113" s="3"/>
      <c r="D113" s="3"/>
      <c r="E113" s="3"/>
      <c r="F113" s="3">
        <v>4304.8999999999996</v>
      </c>
      <c r="G113" s="3" t="s">
        <v>207</v>
      </c>
      <c r="H113" s="3"/>
      <c r="I113" s="3"/>
      <c r="J113" s="3"/>
      <c r="K113" s="3"/>
      <c r="L113" s="5" t="s">
        <v>206</v>
      </c>
      <c r="M113" s="3"/>
      <c r="N113" s="3"/>
      <c r="O113" s="3"/>
      <c r="P113" s="3">
        <v>4524</v>
      </c>
      <c r="Q113" s="3" t="s">
        <v>207</v>
      </c>
      <c r="R113" s="3"/>
      <c r="S113" s="3"/>
    </row>
    <row r="114" spans="1:19" ht="15.75" customHeight="1" thickBot="1" x14ac:dyDescent="0.3">
      <c r="A114" s="175" t="s">
        <v>209</v>
      </c>
      <c r="B114" s="177" t="s">
        <v>210</v>
      </c>
      <c r="C114" s="178"/>
      <c r="D114" s="178"/>
      <c r="E114" s="178"/>
      <c r="F114" s="178"/>
      <c r="G114" s="180" t="s">
        <v>441</v>
      </c>
      <c r="H114" s="181"/>
      <c r="I114" s="175" t="s">
        <v>212</v>
      </c>
      <c r="J114" s="3"/>
      <c r="K114" s="175" t="s">
        <v>209</v>
      </c>
      <c r="L114" s="177" t="s">
        <v>210</v>
      </c>
      <c r="M114" s="178"/>
      <c r="N114" s="178"/>
      <c r="O114" s="178"/>
      <c r="P114" s="178"/>
      <c r="Q114" s="180" t="s">
        <v>442</v>
      </c>
      <c r="R114" s="181"/>
      <c r="S114" s="175" t="s">
        <v>212</v>
      </c>
    </row>
    <row r="115" spans="1:19" ht="68.25" customHeight="1" thickBot="1" x14ac:dyDescent="0.3">
      <c r="A115" s="176"/>
      <c r="B115" s="179"/>
      <c r="C115" s="179"/>
      <c r="D115" s="179"/>
      <c r="E115" s="179"/>
      <c r="F115" s="179"/>
      <c r="G115" s="182"/>
      <c r="H115" s="183"/>
      <c r="I115" s="184"/>
      <c r="J115" s="31"/>
      <c r="K115" s="176"/>
      <c r="L115" s="179"/>
      <c r="M115" s="179"/>
      <c r="N115" s="179"/>
      <c r="O115" s="179"/>
      <c r="P115" s="179"/>
      <c r="Q115" s="182"/>
      <c r="R115" s="183"/>
      <c r="S115" s="184"/>
    </row>
    <row r="116" spans="1:19" ht="21.75" customHeight="1" thickBot="1" x14ac:dyDescent="0.3">
      <c r="A116" s="185" t="s">
        <v>213</v>
      </c>
      <c r="B116" s="187" t="s">
        <v>354</v>
      </c>
      <c r="C116" s="188"/>
      <c r="D116" s="188"/>
      <c r="E116" s="188"/>
      <c r="F116" s="188"/>
      <c r="G116" s="190">
        <v>32118.03</v>
      </c>
      <c r="H116" s="191"/>
      <c r="I116" s="192"/>
      <c r="J116" s="32"/>
      <c r="K116" s="185" t="s">
        <v>213</v>
      </c>
      <c r="L116" s="187" t="s">
        <v>354</v>
      </c>
      <c r="M116" s="188"/>
      <c r="N116" s="188"/>
      <c r="O116" s="188"/>
      <c r="P116" s="188"/>
      <c r="Q116" s="190">
        <v>117442.71</v>
      </c>
      <c r="R116" s="191"/>
      <c r="S116" s="192"/>
    </row>
    <row r="117" spans="1:19" ht="15.75" hidden="1" customHeight="1" x14ac:dyDescent="0.25">
      <c r="A117" s="186"/>
      <c r="B117" s="189"/>
      <c r="C117" s="189"/>
      <c r="D117" s="189"/>
      <c r="E117" s="189"/>
      <c r="F117" s="189"/>
      <c r="G117" s="193"/>
      <c r="H117" s="194"/>
      <c r="I117" s="128"/>
      <c r="J117" s="33"/>
      <c r="K117" s="186"/>
      <c r="L117" s="189"/>
      <c r="M117" s="189"/>
      <c r="N117" s="189"/>
      <c r="O117" s="189"/>
      <c r="P117" s="189"/>
      <c r="Q117" s="193"/>
      <c r="R117" s="194"/>
      <c r="S117" s="128"/>
    </row>
    <row r="118" spans="1:19" ht="16.5" customHeight="1" x14ac:dyDescent="0.25">
      <c r="A118" s="6"/>
      <c r="B118" s="161" t="s">
        <v>214</v>
      </c>
      <c r="C118" s="162"/>
      <c r="D118" s="162"/>
      <c r="E118" s="162"/>
      <c r="F118" s="162"/>
      <c r="G118" s="163">
        <f>1.56*12*F113</f>
        <v>80587.727999999988</v>
      </c>
      <c r="H118" s="164"/>
      <c r="I118" s="169" t="s">
        <v>215</v>
      </c>
      <c r="J118" s="36"/>
      <c r="K118" s="6"/>
      <c r="L118" s="161" t="s">
        <v>214</v>
      </c>
      <c r="M118" s="162"/>
      <c r="N118" s="162"/>
      <c r="O118" s="162"/>
      <c r="P118" s="162"/>
      <c r="Q118" s="163">
        <f>1.89*12*P113</f>
        <v>102604.31999999999</v>
      </c>
      <c r="R118" s="164"/>
      <c r="S118" s="169" t="s">
        <v>215</v>
      </c>
    </row>
    <row r="119" spans="1:19" ht="13.5" customHeight="1" thickBot="1" x14ac:dyDescent="0.3">
      <c r="A119" s="7"/>
      <c r="B119" s="171" t="s">
        <v>216</v>
      </c>
      <c r="C119" s="172"/>
      <c r="D119" s="172"/>
      <c r="E119" s="172"/>
      <c r="F119" s="172"/>
      <c r="G119" s="165"/>
      <c r="H119" s="166"/>
      <c r="I119" s="170"/>
      <c r="J119" s="35"/>
      <c r="K119" s="7"/>
      <c r="L119" s="171" t="s">
        <v>216</v>
      </c>
      <c r="M119" s="172"/>
      <c r="N119" s="172"/>
      <c r="O119" s="172"/>
      <c r="P119" s="172"/>
      <c r="Q119" s="165"/>
      <c r="R119" s="166"/>
      <c r="S119" s="170"/>
    </row>
    <row r="120" spans="1:19" ht="13.5" customHeight="1" thickBot="1" x14ac:dyDescent="0.3">
      <c r="A120" s="7"/>
      <c r="B120" s="173" t="s">
        <v>217</v>
      </c>
      <c r="C120" s="174"/>
      <c r="D120" s="174"/>
      <c r="E120" s="174"/>
      <c r="F120" s="174"/>
      <c r="G120" s="167"/>
      <c r="H120" s="168"/>
      <c r="I120" s="8" t="s">
        <v>218</v>
      </c>
      <c r="J120" s="36"/>
      <c r="K120" s="7"/>
      <c r="L120" s="173" t="s">
        <v>217</v>
      </c>
      <c r="M120" s="174"/>
      <c r="N120" s="174"/>
      <c r="O120" s="174"/>
      <c r="P120" s="174"/>
      <c r="Q120" s="167"/>
      <c r="R120" s="168"/>
      <c r="S120" s="8" t="s">
        <v>218</v>
      </c>
    </row>
    <row r="121" spans="1:19" ht="13.5" customHeight="1" thickBot="1" x14ac:dyDescent="0.3">
      <c r="A121" s="7"/>
      <c r="B121" s="141" t="s">
        <v>219</v>
      </c>
      <c r="C121" s="142"/>
      <c r="D121" s="142"/>
      <c r="E121" s="142"/>
      <c r="F121" s="142"/>
      <c r="G121" s="143">
        <f>1748.85*2*12</f>
        <v>41972.399999999994</v>
      </c>
      <c r="H121" s="144"/>
      <c r="I121" s="8" t="s">
        <v>220</v>
      </c>
      <c r="J121" s="36"/>
      <c r="K121" s="7"/>
      <c r="L121" s="141" t="s">
        <v>219</v>
      </c>
      <c r="M121" s="142"/>
      <c r="N121" s="142"/>
      <c r="O121" s="142"/>
      <c r="P121" s="142"/>
      <c r="Q121" s="143">
        <v>0</v>
      </c>
      <c r="R121" s="144"/>
      <c r="S121" s="8" t="s">
        <v>220</v>
      </c>
    </row>
    <row r="122" spans="1:19" ht="13.5" customHeight="1" thickBot="1" x14ac:dyDescent="0.3">
      <c r="A122" s="7"/>
      <c r="B122" s="141" t="s">
        <v>221</v>
      </c>
      <c r="C122" s="142"/>
      <c r="D122" s="142"/>
      <c r="E122" s="142"/>
      <c r="F122" s="142"/>
      <c r="G122" s="143">
        <f>0.474*12*F113</f>
        <v>24486.271199999996</v>
      </c>
      <c r="H122" s="144"/>
      <c r="I122" s="8" t="s">
        <v>222</v>
      </c>
      <c r="J122" s="37"/>
      <c r="K122" s="7"/>
      <c r="L122" s="141" t="s">
        <v>221</v>
      </c>
      <c r="M122" s="142"/>
      <c r="N122" s="142"/>
      <c r="O122" s="142"/>
      <c r="P122" s="142"/>
      <c r="Q122" s="143">
        <f>0.474*12*P113</f>
        <v>25732.511999999999</v>
      </c>
      <c r="R122" s="144"/>
      <c r="S122" s="8" t="s">
        <v>222</v>
      </c>
    </row>
    <row r="123" spans="1:19" ht="13.5" customHeight="1" x14ac:dyDescent="0.25">
      <c r="A123" s="9"/>
      <c r="B123" s="145" t="s">
        <v>223</v>
      </c>
      <c r="C123" s="146"/>
      <c r="D123" s="146"/>
      <c r="E123" s="146"/>
      <c r="F123" s="146"/>
      <c r="G123" s="86">
        <f>2.05*12*F113</f>
        <v>105900.53999999998</v>
      </c>
      <c r="H123" s="147"/>
      <c r="I123" s="152" t="s">
        <v>224</v>
      </c>
      <c r="J123" s="38"/>
      <c r="K123" s="9"/>
      <c r="L123" s="145" t="s">
        <v>223</v>
      </c>
      <c r="M123" s="146"/>
      <c r="N123" s="146"/>
      <c r="O123" s="146"/>
      <c r="P123" s="146"/>
      <c r="Q123" s="86">
        <f>1.92*12*P113</f>
        <v>104232.95999999999</v>
      </c>
      <c r="R123" s="147"/>
      <c r="S123" s="152" t="s">
        <v>224</v>
      </c>
    </row>
    <row r="124" spans="1:19" ht="13.5" customHeight="1" x14ac:dyDescent="0.25">
      <c r="A124" s="10"/>
      <c r="B124" s="155" t="s">
        <v>226</v>
      </c>
      <c r="C124" s="156"/>
      <c r="D124" s="156"/>
      <c r="E124" s="156"/>
      <c r="F124" s="156"/>
      <c r="G124" s="148"/>
      <c r="H124" s="149"/>
      <c r="I124" s="153"/>
      <c r="J124" s="38"/>
      <c r="K124" s="10"/>
      <c r="L124" s="155" t="s">
        <v>226</v>
      </c>
      <c r="M124" s="156"/>
      <c r="N124" s="156"/>
      <c r="O124" s="156"/>
      <c r="P124" s="156"/>
      <c r="Q124" s="148"/>
      <c r="R124" s="149"/>
      <c r="S124" s="153"/>
    </row>
    <row r="125" spans="1:19" ht="13.5" customHeight="1" thickBot="1" x14ac:dyDescent="0.3">
      <c r="A125" s="10"/>
      <c r="B125" s="157" t="s">
        <v>227</v>
      </c>
      <c r="C125" s="158"/>
      <c r="D125" s="158"/>
      <c r="E125" s="158"/>
      <c r="F125" s="158"/>
      <c r="G125" s="148"/>
      <c r="H125" s="149"/>
      <c r="I125" s="154"/>
      <c r="J125" s="39"/>
      <c r="K125" s="10"/>
      <c r="L125" s="157" t="s">
        <v>227</v>
      </c>
      <c r="M125" s="158"/>
      <c r="N125" s="158"/>
      <c r="O125" s="158"/>
      <c r="P125" s="158"/>
      <c r="Q125" s="148"/>
      <c r="R125" s="149"/>
      <c r="S125" s="154"/>
    </row>
    <row r="126" spans="1:19" ht="13.5" customHeight="1" thickBot="1" x14ac:dyDescent="0.3">
      <c r="A126" s="10"/>
      <c r="B126" s="159" t="s">
        <v>228</v>
      </c>
      <c r="C126" s="160"/>
      <c r="D126" s="160"/>
      <c r="E126" s="160"/>
      <c r="F126" s="160"/>
      <c r="G126" s="150"/>
      <c r="H126" s="151"/>
      <c r="I126" s="11" t="s">
        <v>229</v>
      </c>
      <c r="J126" s="36"/>
      <c r="K126" s="10"/>
      <c r="L126" s="159" t="s">
        <v>228</v>
      </c>
      <c r="M126" s="160"/>
      <c r="N126" s="160"/>
      <c r="O126" s="160"/>
      <c r="P126" s="160"/>
      <c r="Q126" s="150"/>
      <c r="R126" s="151"/>
      <c r="S126" s="11" t="s">
        <v>229</v>
      </c>
    </row>
    <row r="127" spans="1:19" ht="13.5" customHeight="1" x14ac:dyDescent="0.25">
      <c r="A127" s="12"/>
      <c r="B127" s="125" t="s">
        <v>230</v>
      </c>
      <c r="C127" s="126"/>
      <c r="D127" s="126"/>
      <c r="E127" s="126"/>
      <c r="F127" s="126"/>
      <c r="G127" s="86">
        <f>0.048*12*F113</f>
        <v>2479.6224000000002</v>
      </c>
      <c r="H127" s="87"/>
      <c r="I127" s="129" t="s">
        <v>220</v>
      </c>
      <c r="J127" s="36"/>
      <c r="K127" s="12"/>
      <c r="L127" s="125" t="s">
        <v>230</v>
      </c>
      <c r="M127" s="126"/>
      <c r="N127" s="126"/>
      <c r="O127" s="126"/>
      <c r="P127" s="126"/>
      <c r="Q127" s="86">
        <f>0.048*12*P113</f>
        <v>2605.8240000000005</v>
      </c>
      <c r="R127" s="87"/>
      <c r="S127" s="129" t="s">
        <v>220</v>
      </c>
    </row>
    <row r="128" spans="1:19" ht="13.5" customHeight="1" thickBot="1" x14ac:dyDescent="0.3">
      <c r="A128" s="7"/>
      <c r="B128" s="131" t="s">
        <v>231</v>
      </c>
      <c r="C128" s="132"/>
      <c r="D128" s="132"/>
      <c r="E128" s="132"/>
      <c r="F128" s="132"/>
      <c r="G128" s="127"/>
      <c r="H128" s="128"/>
      <c r="I128" s="130"/>
      <c r="J128" s="36"/>
      <c r="K128" s="7"/>
      <c r="L128" s="131" t="s">
        <v>231</v>
      </c>
      <c r="M128" s="132"/>
      <c r="N128" s="132"/>
      <c r="O128" s="132"/>
      <c r="P128" s="132"/>
      <c r="Q128" s="127"/>
      <c r="R128" s="128"/>
      <c r="S128" s="130"/>
    </row>
    <row r="129" spans="1:19" ht="15.75" customHeight="1" thickBot="1" x14ac:dyDescent="0.3">
      <c r="A129" s="13"/>
      <c r="B129" s="133" t="s">
        <v>232</v>
      </c>
      <c r="C129" s="134"/>
      <c r="D129" s="134"/>
      <c r="E129" s="134"/>
      <c r="F129" s="134"/>
      <c r="G129" s="135"/>
      <c r="H129" s="136"/>
      <c r="I129" s="14"/>
      <c r="J129" s="36"/>
      <c r="K129" s="13"/>
      <c r="L129" s="133" t="s">
        <v>232</v>
      </c>
      <c r="M129" s="134"/>
      <c r="N129" s="134"/>
      <c r="O129" s="134"/>
      <c r="P129" s="134"/>
      <c r="Q129" s="135"/>
      <c r="R129" s="136"/>
      <c r="S129" s="14"/>
    </row>
    <row r="130" spans="1:19" ht="30" customHeight="1" thickBot="1" x14ac:dyDescent="0.3">
      <c r="A130" s="13"/>
      <c r="B130" s="84" t="s">
        <v>233</v>
      </c>
      <c r="C130" s="85"/>
      <c r="D130" s="85"/>
      <c r="E130" s="85"/>
      <c r="F130" s="85"/>
      <c r="G130" s="86">
        <f>1.45*12*F113</f>
        <v>74905.259999999995</v>
      </c>
      <c r="H130" s="87"/>
      <c r="I130" s="299" t="s">
        <v>477</v>
      </c>
      <c r="J130" s="41"/>
      <c r="K130" s="13"/>
      <c r="L130" s="84" t="s">
        <v>233</v>
      </c>
      <c r="M130" s="85"/>
      <c r="N130" s="85"/>
      <c r="O130" s="85"/>
      <c r="P130" s="85"/>
      <c r="Q130" s="86">
        <f>1.55*12*P113</f>
        <v>84146.400000000009</v>
      </c>
      <c r="R130" s="87"/>
      <c r="S130" s="299" t="s">
        <v>478</v>
      </c>
    </row>
    <row r="131" spans="1:19" ht="42.75" customHeight="1" x14ac:dyDescent="0.25">
      <c r="A131" s="118"/>
      <c r="B131" s="121" t="s">
        <v>226</v>
      </c>
      <c r="C131" s="122"/>
      <c r="D131" s="122"/>
      <c r="E131" s="122"/>
      <c r="F131" s="122"/>
      <c r="G131" s="88"/>
      <c r="H131" s="89"/>
      <c r="I131" s="300"/>
      <c r="J131" s="41"/>
      <c r="K131" s="118"/>
      <c r="L131" s="121" t="s">
        <v>226</v>
      </c>
      <c r="M131" s="122"/>
      <c r="N131" s="122"/>
      <c r="O131" s="122"/>
      <c r="P131" s="122"/>
      <c r="Q131" s="88"/>
      <c r="R131" s="89"/>
      <c r="S131" s="300"/>
    </row>
    <row r="132" spans="1:19" ht="45" customHeight="1" x14ac:dyDescent="0.25">
      <c r="A132" s="119"/>
      <c r="B132" s="121" t="s">
        <v>227</v>
      </c>
      <c r="C132" s="122"/>
      <c r="D132" s="122"/>
      <c r="E132" s="122"/>
      <c r="F132" s="122"/>
      <c r="G132" s="88"/>
      <c r="H132" s="89"/>
      <c r="I132" s="300"/>
      <c r="J132" s="41"/>
      <c r="K132" s="119"/>
      <c r="L132" s="121" t="s">
        <v>227</v>
      </c>
      <c r="M132" s="122"/>
      <c r="N132" s="122"/>
      <c r="O132" s="122"/>
      <c r="P132" s="122"/>
      <c r="Q132" s="88"/>
      <c r="R132" s="89"/>
      <c r="S132" s="300"/>
    </row>
    <row r="133" spans="1:19" ht="38.25" customHeight="1" x14ac:dyDescent="0.25">
      <c r="A133" s="119"/>
      <c r="B133" s="121" t="s">
        <v>228</v>
      </c>
      <c r="C133" s="122"/>
      <c r="D133" s="122"/>
      <c r="E133" s="122"/>
      <c r="F133" s="122"/>
      <c r="G133" s="88"/>
      <c r="H133" s="89"/>
      <c r="I133" s="300"/>
      <c r="J133" s="42"/>
      <c r="K133" s="119"/>
      <c r="L133" s="121" t="s">
        <v>228</v>
      </c>
      <c r="M133" s="122"/>
      <c r="N133" s="122"/>
      <c r="O133" s="122"/>
      <c r="P133" s="122"/>
      <c r="Q133" s="88"/>
      <c r="R133" s="89"/>
      <c r="S133" s="300"/>
    </row>
    <row r="134" spans="1:19" ht="69" customHeight="1" thickBot="1" x14ac:dyDescent="0.3">
      <c r="A134" s="120"/>
      <c r="B134" s="123" t="s">
        <v>234</v>
      </c>
      <c r="C134" s="124"/>
      <c r="D134" s="124"/>
      <c r="E134" s="124"/>
      <c r="F134" s="124"/>
      <c r="G134" s="90"/>
      <c r="H134" s="91"/>
      <c r="I134" s="301"/>
      <c r="J134" s="43"/>
      <c r="K134" s="120"/>
      <c r="L134" s="123" t="s">
        <v>234</v>
      </c>
      <c r="M134" s="124"/>
      <c r="N134" s="124"/>
      <c r="O134" s="124"/>
      <c r="P134" s="124"/>
      <c r="Q134" s="90"/>
      <c r="R134" s="91"/>
      <c r="S134" s="301"/>
    </row>
    <row r="135" spans="1:19" ht="2.25" customHeight="1" thickBot="1" x14ac:dyDescent="0.3">
      <c r="A135" s="15"/>
      <c r="B135" s="137" t="s">
        <v>248</v>
      </c>
      <c r="C135" s="138"/>
      <c r="D135" s="138"/>
      <c r="E135" s="138"/>
      <c r="F135" s="138"/>
      <c r="G135" s="139"/>
      <c r="H135" s="140"/>
      <c r="I135" s="16"/>
      <c r="J135" s="44"/>
      <c r="K135" s="15"/>
      <c r="L135" s="137" t="s">
        <v>248</v>
      </c>
      <c r="M135" s="138"/>
      <c r="N135" s="138"/>
      <c r="O135" s="138"/>
      <c r="P135" s="138"/>
      <c r="Q135" s="139"/>
      <c r="R135" s="140"/>
      <c r="S135" s="16"/>
    </row>
    <row r="136" spans="1:19" ht="26.25" customHeight="1" thickBot="1" x14ac:dyDescent="0.3">
      <c r="A136" s="15"/>
      <c r="B136" s="137" t="s">
        <v>235</v>
      </c>
      <c r="C136" s="138"/>
      <c r="D136" s="138"/>
      <c r="E136" s="138"/>
      <c r="F136" s="138"/>
      <c r="G136" s="139"/>
      <c r="H136" s="140"/>
      <c r="I136" s="16"/>
      <c r="J136" s="40"/>
      <c r="K136" s="15"/>
      <c r="L136" s="137" t="s">
        <v>235</v>
      </c>
      <c r="M136" s="138"/>
      <c r="N136" s="138"/>
      <c r="O136" s="138"/>
      <c r="P136" s="138"/>
      <c r="Q136" s="139"/>
      <c r="R136" s="140"/>
      <c r="S136" s="16"/>
    </row>
    <row r="137" spans="1:19" ht="26.25" customHeight="1" thickBot="1" x14ac:dyDescent="0.3">
      <c r="A137" s="17"/>
      <c r="B137" s="78" t="s">
        <v>237</v>
      </c>
      <c r="C137" s="79"/>
      <c r="D137" s="79"/>
      <c r="E137" s="79"/>
      <c r="F137" s="79"/>
      <c r="G137" s="86">
        <f>2268+11680</f>
        <v>13948</v>
      </c>
      <c r="H137" s="87"/>
      <c r="I137" s="108" t="s">
        <v>229</v>
      </c>
      <c r="J137" s="62"/>
      <c r="K137" s="17"/>
      <c r="L137" s="78" t="s">
        <v>237</v>
      </c>
      <c r="M137" s="79"/>
      <c r="N137" s="79"/>
      <c r="O137" s="79"/>
      <c r="P137" s="79"/>
      <c r="Q137" s="86">
        <v>7841</v>
      </c>
      <c r="R137" s="87"/>
      <c r="S137" s="108" t="s">
        <v>229</v>
      </c>
    </row>
    <row r="138" spans="1:19" ht="15.75" customHeight="1" thickBot="1" x14ac:dyDescent="0.3">
      <c r="A138" s="18"/>
      <c r="B138" s="110" t="s">
        <v>238</v>
      </c>
      <c r="C138" s="111"/>
      <c r="D138" s="111"/>
      <c r="E138" s="111"/>
      <c r="F138" s="111"/>
      <c r="G138" s="90"/>
      <c r="H138" s="91"/>
      <c r="I138" s="109"/>
      <c r="J138" s="46"/>
      <c r="K138" s="18"/>
      <c r="L138" s="110" t="s">
        <v>238</v>
      </c>
      <c r="M138" s="111"/>
      <c r="N138" s="111"/>
      <c r="O138" s="111"/>
      <c r="P138" s="111"/>
      <c r="Q138" s="90"/>
      <c r="R138" s="91"/>
      <c r="S138" s="109"/>
    </row>
    <row r="139" spans="1:19" ht="15.75" customHeight="1" thickBot="1" x14ac:dyDescent="0.3">
      <c r="A139" s="19"/>
      <c r="B139" s="112" t="s">
        <v>239</v>
      </c>
      <c r="C139" s="113"/>
      <c r="D139" s="113"/>
      <c r="E139" s="113"/>
      <c r="F139" s="113"/>
      <c r="G139" s="114">
        <f>SUM(G118:H138)</f>
        <v>344279.82159999997</v>
      </c>
      <c r="H139" s="115"/>
      <c r="I139" s="20"/>
      <c r="J139" s="47"/>
      <c r="K139" s="19"/>
      <c r="L139" s="112" t="s">
        <v>239</v>
      </c>
      <c r="M139" s="113"/>
      <c r="N139" s="113"/>
      <c r="O139" s="113"/>
      <c r="P139" s="113"/>
      <c r="Q139" s="114">
        <f>SUM(Q118:R138)</f>
        <v>327163.016</v>
      </c>
      <c r="R139" s="115"/>
      <c r="S139" s="20"/>
    </row>
    <row r="140" spans="1:19" ht="22.5" customHeight="1" thickBot="1" x14ac:dyDescent="0.3">
      <c r="A140" s="21"/>
      <c r="B140" s="101" t="s">
        <v>240</v>
      </c>
      <c r="C140" s="102"/>
      <c r="D140" s="102"/>
      <c r="E140" s="102"/>
      <c r="F140" s="102"/>
      <c r="G140" s="116">
        <f>G139*1.2</f>
        <v>413135.78591999994</v>
      </c>
      <c r="H140" s="117"/>
      <c r="I140" s="22"/>
      <c r="J140" s="47"/>
      <c r="K140" s="21"/>
      <c r="L140" s="101" t="s">
        <v>240</v>
      </c>
      <c r="M140" s="102"/>
      <c r="N140" s="102"/>
      <c r="O140" s="102"/>
      <c r="P140" s="102"/>
      <c r="Q140" s="116">
        <f>Q139*1.2</f>
        <v>392595.61920000002</v>
      </c>
      <c r="R140" s="117"/>
      <c r="S140" s="22"/>
    </row>
    <row r="141" spans="1:19" ht="22.5" customHeight="1" thickBot="1" x14ac:dyDescent="0.3">
      <c r="A141" s="24"/>
      <c r="B141" s="96" t="s">
        <v>446</v>
      </c>
      <c r="C141" s="97"/>
      <c r="D141" s="97"/>
      <c r="E141" s="97"/>
      <c r="F141" s="97"/>
      <c r="G141" s="311">
        <v>413160.39</v>
      </c>
      <c r="H141" s="312"/>
      <c r="I141" s="313"/>
      <c r="J141" s="47"/>
      <c r="K141" s="24"/>
      <c r="L141" s="96" t="s">
        <v>446</v>
      </c>
      <c r="M141" s="97"/>
      <c r="N141" s="97"/>
      <c r="O141" s="97"/>
      <c r="P141" s="97"/>
      <c r="Q141" s="311">
        <v>393039.48</v>
      </c>
      <c r="R141" s="312"/>
      <c r="S141" s="313"/>
    </row>
    <row r="142" spans="1:19" ht="22.5" customHeight="1" thickBot="1" x14ac:dyDescent="0.3">
      <c r="A142" s="19"/>
      <c r="B142" s="101" t="s">
        <v>242</v>
      </c>
      <c r="C142" s="102"/>
      <c r="D142" s="102"/>
      <c r="E142" s="102"/>
      <c r="F142" s="102"/>
      <c r="G142" s="307">
        <v>420055.78</v>
      </c>
      <c r="H142" s="308"/>
      <c r="I142" s="309"/>
      <c r="J142" s="48"/>
      <c r="K142" s="19"/>
      <c r="L142" s="101" t="s">
        <v>242</v>
      </c>
      <c r="M142" s="102"/>
      <c r="N142" s="102"/>
      <c r="O142" s="102"/>
      <c r="P142" s="102"/>
      <c r="Q142" s="307">
        <v>388265.98</v>
      </c>
      <c r="R142" s="308"/>
      <c r="S142" s="309"/>
    </row>
    <row r="143" spans="1:19" ht="22.5" customHeight="1" thickBot="1" x14ac:dyDescent="0.3">
      <c r="A143" s="19"/>
      <c r="B143" s="106" t="s">
        <v>444</v>
      </c>
      <c r="C143" s="107"/>
      <c r="D143" s="107"/>
      <c r="E143" s="107"/>
      <c r="F143" s="107"/>
      <c r="G143" s="307">
        <v>25222.639999999999</v>
      </c>
      <c r="H143" s="308"/>
      <c r="I143" s="309"/>
      <c r="J143" s="49"/>
      <c r="K143" s="19"/>
      <c r="L143" s="106" t="s">
        <v>444</v>
      </c>
      <c r="M143" s="107"/>
      <c r="N143" s="107"/>
      <c r="O143" s="107"/>
      <c r="P143" s="107"/>
      <c r="Q143" s="307">
        <v>122216.21</v>
      </c>
      <c r="R143" s="308"/>
      <c r="S143" s="309"/>
    </row>
    <row r="144" spans="1:19" x14ac:dyDescent="0.25">
      <c r="A144" s="4"/>
      <c r="B144" s="314"/>
      <c r="C144" s="314"/>
      <c r="D144" s="314"/>
      <c r="E144" s="314"/>
      <c r="F144" s="314"/>
      <c r="G144" s="314"/>
      <c r="H144" s="314"/>
      <c r="I144" s="314"/>
      <c r="K144" s="4"/>
      <c r="L144" s="314"/>
      <c r="M144" s="314"/>
      <c r="N144" s="314"/>
      <c r="O144" s="314"/>
      <c r="P144" s="314"/>
      <c r="Q144" s="314"/>
      <c r="R144" s="314"/>
      <c r="S144" s="314"/>
    </row>
    <row r="145" spans="1:19" x14ac:dyDescent="0.25">
      <c r="E145" s="50"/>
      <c r="I145" s="5"/>
      <c r="O145" s="50"/>
      <c r="S145" s="5"/>
    </row>
    <row r="146" spans="1:19" x14ac:dyDescent="0.25">
      <c r="A146" s="3"/>
      <c r="I146" s="5"/>
      <c r="K146" s="3"/>
      <c r="S146" s="5"/>
    </row>
    <row r="147" spans="1:19" ht="15.75" x14ac:dyDescent="0.25">
      <c r="A147" s="30"/>
      <c r="K147" s="30"/>
    </row>
    <row r="148" spans="1:19" ht="15.75" x14ac:dyDescent="0.25">
      <c r="A148" s="30"/>
      <c r="K148" s="30"/>
    </row>
    <row r="149" spans="1:19" x14ac:dyDescent="0.25">
      <c r="A149" s="3"/>
      <c r="B149" s="3"/>
      <c r="C149" s="3"/>
      <c r="D149" s="3"/>
      <c r="E149" s="4" t="s">
        <v>204</v>
      </c>
      <c r="F149" s="3"/>
      <c r="G149" s="3"/>
      <c r="H149" s="3"/>
      <c r="I149" s="3"/>
      <c r="K149" s="3"/>
      <c r="L149" s="3"/>
      <c r="M149" s="3"/>
      <c r="N149" s="3"/>
      <c r="O149" s="4" t="s">
        <v>204</v>
      </c>
      <c r="P149" s="3"/>
      <c r="Q149" s="3"/>
      <c r="R149" s="3"/>
      <c r="S149" s="3"/>
    </row>
    <row r="150" spans="1:19" x14ac:dyDescent="0.25">
      <c r="A150" s="3" t="s">
        <v>205</v>
      </c>
      <c r="B150" s="3"/>
      <c r="C150" s="3"/>
      <c r="D150" s="3" t="s">
        <v>269</v>
      </c>
      <c r="E150" s="3"/>
      <c r="F150" s="3"/>
      <c r="G150" s="3"/>
      <c r="H150" s="3"/>
      <c r="I150" s="3"/>
      <c r="K150" s="3" t="s">
        <v>205</v>
      </c>
      <c r="L150" s="3"/>
      <c r="M150" s="3"/>
      <c r="N150" s="3" t="s">
        <v>270</v>
      </c>
      <c r="O150" s="3"/>
      <c r="P150" s="3"/>
      <c r="Q150" s="3"/>
      <c r="R150" s="3"/>
      <c r="S150" s="3"/>
    </row>
    <row r="151" spans="1:19" x14ac:dyDescent="0.25">
      <c r="A151" s="3"/>
      <c r="B151" s="5" t="s">
        <v>440</v>
      </c>
      <c r="C151" s="3"/>
      <c r="D151" s="3"/>
      <c r="E151" s="3"/>
      <c r="F151" s="3"/>
      <c r="G151" s="3"/>
      <c r="H151" s="3"/>
      <c r="I151" s="3"/>
      <c r="K151" s="3"/>
      <c r="L151" s="5" t="s">
        <v>440</v>
      </c>
      <c r="M151" s="3"/>
      <c r="N151" s="3"/>
      <c r="O151" s="3"/>
      <c r="P151" s="3"/>
      <c r="Q151" s="3"/>
      <c r="R151" s="3"/>
      <c r="S151" s="3"/>
    </row>
    <row r="152" spans="1:19" ht="15.75" thickBot="1" x14ac:dyDescent="0.3">
      <c r="A152" s="3"/>
      <c r="B152" s="5" t="s">
        <v>206</v>
      </c>
      <c r="C152" s="3"/>
      <c r="D152" s="3"/>
      <c r="E152" s="3"/>
      <c r="F152" s="3">
        <v>4408.1000000000004</v>
      </c>
      <c r="G152" s="3" t="s">
        <v>207</v>
      </c>
      <c r="H152" s="3"/>
      <c r="I152" s="3"/>
      <c r="J152" s="3"/>
      <c r="K152" s="3"/>
      <c r="L152" s="5" t="s">
        <v>206</v>
      </c>
      <c r="M152" s="3"/>
      <c r="N152" s="3"/>
      <c r="O152" s="3"/>
      <c r="P152" s="3">
        <v>6283</v>
      </c>
      <c r="Q152" s="3" t="s">
        <v>207</v>
      </c>
      <c r="R152" s="3"/>
      <c r="S152" s="3"/>
    </row>
    <row r="153" spans="1:19" ht="15.75" customHeight="1" thickBot="1" x14ac:dyDescent="0.3">
      <c r="A153" s="175" t="s">
        <v>209</v>
      </c>
      <c r="B153" s="177" t="s">
        <v>210</v>
      </c>
      <c r="C153" s="178"/>
      <c r="D153" s="178"/>
      <c r="E153" s="178"/>
      <c r="F153" s="178"/>
      <c r="G153" s="180" t="s">
        <v>441</v>
      </c>
      <c r="H153" s="181"/>
      <c r="I153" s="175" t="s">
        <v>212</v>
      </c>
      <c r="J153" s="3"/>
      <c r="K153" s="175" t="s">
        <v>209</v>
      </c>
      <c r="L153" s="177" t="s">
        <v>210</v>
      </c>
      <c r="M153" s="178"/>
      <c r="N153" s="178"/>
      <c r="O153" s="178"/>
      <c r="P153" s="178"/>
      <c r="Q153" s="180" t="s">
        <v>441</v>
      </c>
      <c r="R153" s="181"/>
      <c r="S153" s="175" t="s">
        <v>212</v>
      </c>
    </row>
    <row r="154" spans="1:19" ht="66" customHeight="1" thickBot="1" x14ac:dyDescent="0.3">
      <c r="A154" s="176"/>
      <c r="B154" s="179"/>
      <c r="C154" s="179"/>
      <c r="D154" s="179"/>
      <c r="E154" s="179"/>
      <c r="F154" s="179"/>
      <c r="G154" s="182"/>
      <c r="H154" s="183"/>
      <c r="I154" s="184"/>
      <c r="J154" s="31"/>
      <c r="K154" s="176"/>
      <c r="L154" s="179"/>
      <c r="M154" s="179"/>
      <c r="N154" s="179"/>
      <c r="O154" s="179"/>
      <c r="P154" s="179"/>
      <c r="Q154" s="182"/>
      <c r="R154" s="183"/>
      <c r="S154" s="184"/>
    </row>
    <row r="155" spans="1:19" ht="19.5" customHeight="1" thickBot="1" x14ac:dyDescent="0.3">
      <c r="A155" s="185" t="s">
        <v>213</v>
      </c>
      <c r="B155" s="187" t="s">
        <v>354</v>
      </c>
      <c r="C155" s="188"/>
      <c r="D155" s="188"/>
      <c r="E155" s="188"/>
      <c r="F155" s="188"/>
      <c r="G155" s="190">
        <v>179337.96</v>
      </c>
      <c r="H155" s="191"/>
      <c r="I155" s="192"/>
      <c r="J155" s="32"/>
      <c r="K155" s="185" t="s">
        <v>213</v>
      </c>
      <c r="L155" s="187" t="s">
        <v>354</v>
      </c>
      <c r="M155" s="188"/>
      <c r="N155" s="188"/>
      <c r="O155" s="188"/>
      <c r="P155" s="188"/>
      <c r="Q155" s="190">
        <v>126377.46</v>
      </c>
      <c r="R155" s="191"/>
      <c r="S155" s="192"/>
    </row>
    <row r="156" spans="1:19" ht="15.75" hidden="1" customHeight="1" x14ac:dyDescent="0.25">
      <c r="A156" s="186"/>
      <c r="B156" s="189"/>
      <c r="C156" s="189"/>
      <c r="D156" s="189"/>
      <c r="E156" s="189"/>
      <c r="F156" s="189"/>
      <c r="G156" s="193"/>
      <c r="H156" s="194"/>
      <c r="I156" s="128"/>
      <c r="J156" s="33"/>
      <c r="K156" s="186"/>
      <c r="L156" s="189"/>
      <c r="M156" s="189"/>
      <c r="N156" s="189"/>
      <c r="O156" s="189"/>
      <c r="P156" s="189"/>
      <c r="Q156" s="193"/>
      <c r="R156" s="194"/>
      <c r="S156" s="128"/>
    </row>
    <row r="157" spans="1:19" ht="16.5" customHeight="1" x14ac:dyDescent="0.25">
      <c r="A157" s="6"/>
      <c r="B157" s="161" t="s">
        <v>214</v>
      </c>
      <c r="C157" s="162"/>
      <c r="D157" s="162"/>
      <c r="E157" s="162"/>
      <c r="F157" s="162"/>
      <c r="G157" s="163">
        <f>2.19*12*F152</f>
        <v>115844.86800000002</v>
      </c>
      <c r="H157" s="164"/>
      <c r="I157" s="169" t="s">
        <v>215</v>
      </c>
      <c r="J157" s="36"/>
      <c r="K157" s="6"/>
      <c r="L157" s="161" t="s">
        <v>214</v>
      </c>
      <c r="M157" s="162"/>
      <c r="N157" s="162"/>
      <c r="O157" s="162"/>
      <c r="P157" s="162"/>
      <c r="Q157" s="163">
        <f>1.99*12*P152</f>
        <v>150038.04</v>
      </c>
      <c r="R157" s="164"/>
      <c r="S157" s="169" t="s">
        <v>215</v>
      </c>
    </row>
    <row r="158" spans="1:19" ht="13.5" customHeight="1" thickBot="1" x14ac:dyDescent="0.3">
      <c r="A158" s="7"/>
      <c r="B158" s="171" t="s">
        <v>216</v>
      </c>
      <c r="C158" s="172"/>
      <c r="D158" s="172"/>
      <c r="E158" s="172"/>
      <c r="F158" s="172"/>
      <c r="G158" s="165"/>
      <c r="H158" s="166"/>
      <c r="I158" s="170"/>
      <c r="J158" s="35"/>
      <c r="K158" s="7"/>
      <c r="L158" s="171" t="s">
        <v>216</v>
      </c>
      <c r="M158" s="172"/>
      <c r="N158" s="172"/>
      <c r="O158" s="172"/>
      <c r="P158" s="172"/>
      <c r="Q158" s="165"/>
      <c r="R158" s="166"/>
      <c r="S158" s="170"/>
    </row>
    <row r="159" spans="1:19" ht="13.5" customHeight="1" thickBot="1" x14ac:dyDescent="0.3">
      <c r="A159" s="7"/>
      <c r="B159" s="173" t="s">
        <v>217</v>
      </c>
      <c r="C159" s="174"/>
      <c r="D159" s="174"/>
      <c r="E159" s="174"/>
      <c r="F159" s="174"/>
      <c r="G159" s="167"/>
      <c r="H159" s="168"/>
      <c r="I159" s="8" t="s">
        <v>218</v>
      </c>
      <c r="J159" s="36"/>
      <c r="K159" s="7"/>
      <c r="L159" s="173" t="s">
        <v>217</v>
      </c>
      <c r="M159" s="174"/>
      <c r="N159" s="174"/>
      <c r="O159" s="174"/>
      <c r="P159" s="174"/>
      <c r="Q159" s="167"/>
      <c r="R159" s="168"/>
      <c r="S159" s="8" t="s">
        <v>218</v>
      </c>
    </row>
    <row r="160" spans="1:19" ht="13.5" customHeight="1" thickBot="1" x14ac:dyDescent="0.3">
      <c r="A160" s="7"/>
      <c r="B160" s="141" t="s">
        <v>219</v>
      </c>
      <c r="C160" s="142"/>
      <c r="D160" s="142"/>
      <c r="E160" s="142"/>
      <c r="F160" s="142"/>
      <c r="G160" s="143">
        <v>0</v>
      </c>
      <c r="H160" s="144"/>
      <c r="I160" s="8" t="s">
        <v>220</v>
      </c>
      <c r="J160" s="36"/>
      <c r="K160" s="7"/>
      <c r="L160" s="141" t="s">
        <v>219</v>
      </c>
      <c r="M160" s="142"/>
      <c r="N160" s="142"/>
      <c r="O160" s="142"/>
      <c r="P160" s="142"/>
      <c r="Q160" s="143">
        <f>1748.85*3*12</f>
        <v>62958.599999999991</v>
      </c>
      <c r="R160" s="144"/>
      <c r="S160" s="8" t="s">
        <v>220</v>
      </c>
    </row>
    <row r="161" spans="1:19" ht="13.5" customHeight="1" thickBot="1" x14ac:dyDescent="0.3">
      <c r="A161" s="7"/>
      <c r="B161" s="141" t="s">
        <v>221</v>
      </c>
      <c r="C161" s="142"/>
      <c r="D161" s="142"/>
      <c r="E161" s="142"/>
      <c r="F161" s="142"/>
      <c r="G161" s="143">
        <f>0.474*12*F152</f>
        <v>25073.272800000002</v>
      </c>
      <c r="H161" s="144"/>
      <c r="I161" s="8" t="s">
        <v>222</v>
      </c>
      <c r="J161" s="37"/>
      <c r="K161" s="7"/>
      <c r="L161" s="141" t="s">
        <v>221</v>
      </c>
      <c r="M161" s="142"/>
      <c r="N161" s="142"/>
      <c r="O161" s="142"/>
      <c r="P161" s="142"/>
      <c r="Q161" s="143">
        <f>0.474*12*P152</f>
        <v>35737.703999999998</v>
      </c>
      <c r="R161" s="144"/>
      <c r="S161" s="8" t="s">
        <v>222</v>
      </c>
    </row>
    <row r="162" spans="1:19" ht="13.5" customHeight="1" x14ac:dyDescent="0.25">
      <c r="A162" s="9"/>
      <c r="B162" s="145" t="s">
        <v>223</v>
      </c>
      <c r="C162" s="146"/>
      <c r="D162" s="146"/>
      <c r="E162" s="146"/>
      <c r="F162" s="146"/>
      <c r="G162" s="86">
        <f>2.29*12*F152</f>
        <v>121134.58800000002</v>
      </c>
      <c r="H162" s="147"/>
      <c r="I162" s="152" t="s">
        <v>224</v>
      </c>
      <c r="J162" s="38"/>
      <c r="K162" s="9"/>
      <c r="L162" s="145" t="s">
        <v>223</v>
      </c>
      <c r="M162" s="146"/>
      <c r="N162" s="146"/>
      <c r="O162" s="146"/>
      <c r="P162" s="146"/>
      <c r="Q162" s="86">
        <f>1.98*12*P152</f>
        <v>149284.07999999999</v>
      </c>
      <c r="R162" s="147"/>
      <c r="S162" s="152" t="s">
        <v>224</v>
      </c>
    </row>
    <row r="163" spans="1:19" ht="13.5" customHeight="1" x14ac:dyDescent="0.25">
      <c r="A163" s="10"/>
      <c r="B163" s="155" t="s">
        <v>226</v>
      </c>
      <c r="C163" s="156"/>
      <c r="D163" s="156"/>
      <c r="E163" s="156"/>
      <c r="F163" s="156"/>
      <c r="G163" s="148"/>
      <c r="H163" s="149"/>
      <c r="I163" s="153"/>
      <c r="J163" s="38"/>
      <c r="K163" s="10"/>
      <c r="L163" s="155" t="s">
        <v>226</v>
      </c>
      <c r="M163" s="156"/>
      <c r="N163" s="156"/>
      <c r="O163" s="156"/>
      <c r="P163" s="156"/>
      <c r="Q163" s="148"/>
      <c r="R163" s="149"/>
      <c r="S163" s="153"/>
    </row>
    <row r="164" spans="1:19" ht="13.5" customHeight="1" thickBot="1" x14ac:dyDescent="0.3">
      <c r="A164" s="10"/>
      <c r="B164" s="157" t="s">
        <v>227</v>
      </c>
      <c r="C164" s="158"/>
      <c r="D164" s="158"/>
      <c r="E164" s="158"/>
      <c r="F164" s="158"/>
      <c r="G164" s="148"/>
      <c r="H164" s="149"/>
      <c r="I164" s="154"/>
      <c r="J164" s="39"/>
      <c r="K164" s="10"/>
      <c r="L164" s="157" t="s">
        <v>227</v>
      </c>
      <c r="M164" s="158"/>
      <c r="N164" s="158"/>
      <c r="O164" s="158"/>
      <c r="P164" s="158"/>
      <c r="Q164" s="148"/>
      <c r="R164" s="149"/>
      <c r="S164" s="154"/>
    </row>
    <row r="165" spans="1:19" ht="13.5" customHeight="1" thickBot="1" x14ac:dyDescent="0.3">
      <c r="A165" s="10"/>
      <c r="B165" s="159" t="s">
        <v>228</v>
      </c>
      <c r="C165" s="160"/>
      <c r="D165" s="160"/>
      <c r="E165" s="160"/>
      <c r="F165" s="160"/>
      <c r="G165" s="150"/>
      <c r="H165" s="151"/>
      <c r="I165" s="11" t="s">
        <v>229</v>
      </c>
      <c r="J165" s="36"/>
      <c r="K165" s="10"/>
      <c r="L165" s="159" t="s">
        <v>228</v>
      </c>
      <c r="M165" s="160"/>
      <c r="N165" s="160"/>
      <c r="O165" s="160"/>
      <c r="P165" s="160"/>
      <c r="Q165" s="150"/>
      <c r="R165" s="151"/>
      <c r="S165" s="11" t="s">
        <v>229</v>
      </c>
    </row>
    <row r="166" spans="1:19" ht="13.5" customHeight="1" x14ac:dyDescent="0.25">
      <c r="A166" s="12"/>
      <c r="B166" s="125" t="s">
        <v>230</v>
      </c>
      <c r="C166" s="126"/>
      <c r="D166" s="126"/>
      <c r="E166" s="126"/>
      <c r="F166" s="126"/>
      <c r="G166" s="86">
        <f>0.048*12*F152</f>
        <v>2539.0656000000004</v>
      </c>
      <c r="H166" s="87"/>
      <c r="I166" s="129" t="s">
        <v>220</v>
      </c>
      <c r="J166" s="36"/>
      <c r="K166" s="12"/>
      <c r="L166" s="125" t="s">
        <v>230</v>
      </c>
      <c r="M166" s="126"/>
      <c r="N166" s="126"/>
      <c r="O166" s="126"/>
      <c r="P166" s="126"/>
      <c r="Q166" s="86">
        <f>0.048*12*P152</f>
        <v>3619.0080000000003</v>
      </c>
      <c r="R166" s="87"/>
      <c r="S166" s="129" t="s">
        <v>220</v>
      </c>
    </row>
    <row r="167" spans="1:19" ht="13.5" customHeight="1" thickBot="1" x14ac:dyDescent="0.3">
      <c r="A167" s="7"/>
      <c r="B167" s="131" t="s">
        <v>231</v>
      </c>
      <c r="C167" s="132"/>
      <c r="D167" s="132"/>
      <c r="E167" s="132"/>
      <c r="F167" s="132"/>
      <c r="G167" s="127"/>
      <c r="H167" s="128"/>
      <c r="I167" s="130"/>
      <c r="J167" s="36"/>
      <c r="K167" s="7"/>
      <c r="L167" s="131" t="s">
        <v>231</v>
      </c>
      <c r="M167" s="132"/>
      <c r="N167" s="132"/>
      <c r="O167" s="132"/>
      <c r="P167" s="132"/>
      <c r="Q167" s="127"/>
      <c r="R167" s="128"/>
      <c r="S167" s="130"/>
    </row>
    <row r="168" spans="1:19" ht="15.75" customHeight="1" thickBot="1" x14ac:dyDescent="0.3">
      <c r="A168" s="13"/>
      <c r="B168" s="133" t="s">
        <v>232</v>
      </c>
      <c r="C168" s="134"/>
      <c r="D168" s="134"/>
      <c r="E168" s="134"/>
      <c r="F168" s="134"/>
      <c r="G168" s="135"/>
      <c r="H168" s="136"/>
      <c r="I168" s="14"/>
      <c r="J168" s="36"/>
      <c r="K168" s="13"/>
      <c r="L168" s="133" t="s">
        <v>232</v>
      </c>
      <c r="M168" s="134"/>
      <c r="N168" s="134"/>
      <c r="O168" s="134"/>
      <c r="P168" s="134"/>
      <c r="Q168" s="135"/>
      <c r="R168" s="136"/>
      <c r="S168" s="14"/>
    </row>
    <row r="169" spans="1:19" ht="36" customHeight="1" thickBot="1" x14ac:dyDescent="0.3">
      <c r="A169" s="13"/>
      <c r="B169" s="84" t="s">
        <v>233</v>
      </c>
      <c r="C169" s="85"/>
      <c r="D169" s="85"/>
      <c r="E169" s="85"/>
      <c r="F169" s="85"/>
      <c r="G169" s="86">
        <f>1.91*12*F152</f>
        <v>101033.652</v>
      </c>
      <c r="H169" s="87"/>
      <c r="I169" s="299" t="s">
        <v>485</v>
      </c>
      <c r="J169" s="41"/>
      <c r="K169" s="13"/>
      <c r="L169" s="84" t="s">
        <v>233</v>
      </c>
      <c r="M169" s="85"/>
      <c r="N169" s="85"/>
      <c r="O169" s="85"/>
      <c r="P169" s="85"/>
      <c r="Q169" s="86">
        <f>1.47*12*P152</f>
        <v>110832.12000000001</v>
      </c>
      <c r="R169" s="87"/>
      <c r="S169" s="299" t="s">
        <v>486</v>
      </c>
    </row>
    <row r="170" spans="1:19" ht="39.75" customHeight="1" x14ac:dyDescent="0.25">
      <c r="A170" s="118"/>
      <c r="B170" s="121" t="s">
        <v>226</v>
      </c>
      <c r="C170" s="122"/>
      <c r="D170" s="122"/>
      <c r="E170" s="122"/>
      <c r="F170" s="122"/>
      <c r="G170" s="88"/>
      <c r="H170" s="89"/>
      <c r="I170" s="300"/>
      <c r="J170" s="41"/>
      <c r="K170" s="118"/>
      <c r="L170" s="121" t="s">
        <v>226</v>
      </c>
      <c r="M170" s="122"/>
      <c r="N170" s="122"/>
      <c r="O170" s="122"/>
      <c r="P170" s="122"/>
      <c r="Q170" s="88"/>
      <c r="R170" s="89"/>
      <c r="S170" s="300"/>
    </row>
    <row r="171" spans="1:19" ht="39" customHeight="1" x14ac:dyDescent="0.25">
      <c r="A171" s="119"/>
      <c r="B171" s="121" t="s">
        <v>227</v>
      </c>
      <c r="C171" s="122"/>
      <c r="D171" s="122"/>
      <c r="E171" s="122"/>
      <c r="F171" s="122"/>
      <c r="G171" s="88"/>
      <c r="H171" s="89"/>
      <c r="I171" s="300"/>
      <c r="J171" s="41"/>
      <c r="K171" s="119"/>
      <c r="L171" s="121" t="s">
        <v>227</v>
      </c>
      <c r="M171" s="122"/>
      <c r="N171" s="122"/>
      <c r="O171" s="122"/>
      <c r="P171" s="122"/>
      <c r="Q171" s="88"/>
      <c r="R171" s="89"/>
      <c r="S171" s="300"/>
    </row>
    <row r="172" spans="1:19" ht="48.75" customHeight="1" x14ac:dyDescent="0.25">
      <c r="A172" s="119"/>
      <c r="B172" s="121" t="s">
        <v>228</v>
      </c>
      <c r="C172" s="122"/>
      <c r="D172" s="122"/>
      <c r="E172" s="122"/>
      <c r="F172" s="122"/>
      <c r="G172" s="88"/>
      <c r="H172" s="89"/>
      <c r="I172" s="300"/>
      <c r="J172" s="41"/>
      <c r="K172" s="119"/>
      <c r="L172" s="121" t="s">
        <v>228</v>
      </c>
      <c r="M172" s="122"/>
      <c r="N172" s="122"/>
      <c r="O172" s="122"/>
      <c r="P172" s="122"/>
      <c r="Q172" s="88"/>
      <c r="R172" s="89"/>
      <c r="S172" s="300"/>
    </row>
    <row r="173" spans="1:19" ht="83.25" customHeight="1" thickBot="1" x14ac:dyDescent="0.3">
      <c r="A173" s="120"/>
      <c r="B173" s="123" t="s">
        <v>234</v>
      </c>
      <c r="C173" s="124"/>
      <c r="D173" s="124"/>
      <c r="E173" s="124"/>
      <c r="F173" s="124"/>
      <c r="G173" s="90"/>
      <c r="H173" s="91"/>
      <c r="I173" s="301"/>
      <c r="J173" s="42"/>
      <c r="K173" s="120"/>
      <c r="L173" s="123" t="s">
        <v>234</v>
      </c>
      <c r="M173" s="124"/>
      <c r="N173" s="124"/>
      <c r="O173" s="124"/>
      <c r="P173" s="124"/>
      <c r="Q173" s="90"/>
      <c r="R173" s="91"/>
      <c r="S173" s="301"/>
    </row>
    <row r="174" spans="1:19" ht="30" hidden="1" customHeight="1" x14ac:dyDescent="0.25">
      <c r="A174" s="15"/>
      <c r="B174" s="137" t="s">
        <v>248</v>
      </c>
      <c r="C174" s="138"/>
      <c r="D174" s="138"/>
      <c r="E174" s="138"/>
      <c r="F174" s="138"/>
      <c r="G174" s="139"/>
      <c r="H174" s="140"/>
      <c r="I174" s="16"/>
      <c r="J174" s="43"/>
      <c r="K174" s="15"/>
      <c r="L174" s="137" t="s">
        <v>248</v>
      </c>
      <c r="M174" s="138"/>
      <c r="N174" s="138"/>
      <c r="O174" s="138"/>
      <c r="P174" s="138"/>
      <c r="Q174" s="139"/>
      <c r="R174" s="140"/>
      <c r="S174" s="16"/>
    </row>
    <row r="175" spans="1:19" ht="25.5" customHeight="1" thickBot="1" x14ac:dyDescent="0.3">
      <c r="A175" s="15"/>
      <c r="B175" s="137" t="s">
        <v>235</v>
      </c>
      <c r="C175" s="138"/>
      <c r="D175" s="138"/>
      <c r="E175" s="138"/>
      <c r="F175" s="138"/>
      <c r="G175" s="139"/>
      <c r="H175" s="140"/>
      <c r="I175" s="16"/>
      <c r="J175" s="44"/>
      <c r="K175" s="15"/>
      <c r="L175" s="137" t="s">
        <v>235</v>
      </c>
      <c r="M175" s="138"/>
      <c r="N175" s="138"/>
      <c r="O175" s="138"/>
      <c r="P175" s="138"/>
      <c r="Q175" s="139"/>
      <c r="R175" s="140"/>
      <c r="S175" s="16"/>
    </row>
    <row r="176" spans="1:19" ht="30.75" customHeight="1" thickBot="1" x14ac:dyDescent="0.3">
      <c r="A176" s="17"/>
      <c r="B176" s="78" t="s">
        <v>237</v>
      </c>
      <c r="C176" s="79"/>
      <c r="D176" s="79"/>
      <c r="E176" s="79"/>
      <c r="F176" s="79"/>
      <c r="G176" s="86">
        <v>15704</v>
      </c>
      <c r="H176" s="87"/>
      <c r="I176" s="108" t="s">
        <v>229</v>
      </c>
      <c r="J176" s="40"/>
      <c r="K176" s="17"/>
      <c r="L176" s="78" t="s">
        <v>237</v>
      </c>
      <c r="M176" s="79"/>
      <c r="N176" s="79"/>
      <c r="O176" s="79"/>
      <c r="P176" s="79"/>
      <c r="Q176" s="86">
        <v>18033</v>
      </c>
      <c r="R176" s="87"/>
      <c r="S176" s="108" t="s">
        <v>229</v>
      </c>
    </row>
    <row r="177" spans="1:19" ht="15.75" thickBot="1" x14ac:dyDescent="0.3">
      <c r="A177" s="18"/>
      <c r="B177" s="110" t="s">
        <v>238</v>
      </c>
      <c r="C177" s="111"/>
      <c r="D177" s="111"/>
      <c r="E177" s="111"/>
      <c r="F177" s="111"/>
      <c r="G177" s="90"/>
      <c r="H177" s="91"/>
      <c r="I177" s="109"/>
      <c r="J177" s="45"/>
      <c r="K177" s="18"/>
      <c r="L177" s="110" t="s">
        <v>238</v>
      </c>
      <c r="M177" s="111"/>
      <c r="N177" s="111"/>
      <c r="O177" s="111"/>
      <c r="P177" s="111"/>
      <c r="Q177" s="90"/>
      <c r="R177" s="91"/>
      <c r="S177" s="109"/>
    </row>
    <row r="178" spans="1:19" ht="15.75" thickBot="1" x14ac:dyDescent="0.3">
      <c r="A178" s="19"/>
      <c r="B178" s="112" t="s">
        <v>239</v>
      </c>
      <c r="C178" s="113"/>
      <c r="D178" s="113"/>
      <c r="E178" s="113"/>
      <c r="F178" s="113"/>
      <c r="G178" s="114">
        <f>SUM(G157:H177)</f>
        <v>381329.44640000002</v>
      </c>
      <c r="H178" s="115"/>
      <c r="I178" s="20"/>
      <c r="J178" s="46"/>
      <c r="K178" s="19"/>
      <c r="L178" s="112" t="s">
        <v>239</v>
      </c>
      <c r="M178" s="113"/>
      <c r="N178" s="113"/>
      <c r="O178" s="113"/>
      <c r="P178" s="113"/>
      <c r="Q178" s="114">
        <f>SUM(Q157:R177)</f>
        <v>530502.55199999991</v>
      </c>
      <c r="R178" s="115"/>
      <c r="S178" s="20"/>
    </row>
    <row r="179" spans="1:19" ht="25.5" customHeight="1" thickBot="1" x14ac:dyDescent="0.3">
      <c r="A179" s="21"/>
      <c r="B179" s="101" t="s">
        <v>240</v>
      </c>
      <c r="C179" s="102"/>
      <c r="D179" s="102"/>
      <c r="E179" s="102"/>
      <c r="F179" s="102"/>
      <c r="G179" s="116">
        <f>G178*1.2</f>
        <v>457595.33568000002</v>
      </c>
      <c r="H179" s="117"/>
      <c r="I179" s="22"/>
      <c r="J179" s="47"/>
      <c r="K179" s="21"/>
      <c r="L179" s="101" t="s">
        <v>240</v>
      </c>
      <c r="M179" s="102"/>
      <c r="N179" s="102"/>
      <c r="O179" s="102"/>
      <c r="P179" s="102"/>
      <c r="Q179" s="116">
        <f>Q178*1.2</f>
        <v>636603.06239999982</v>
      </c>
      <c r="R179" s="117"/>
      <c r="S179" s="22"/>
    </row>
    <row r="180" spans="1:19" ht="25.5" customHeight="1" thickBot="1" x14ac:dyDescent="0.3">
      <c r="A180" s="24"/>
      <c r="B180" s="96" t="s">
        <v>446</v>
      </c>
      <c r="C180" s="97"/>
      <c r="D180" s="97"/>
      <c r="E180" s="97"/>
      <c r="F180" s="97"/>
      <c r="G180" s="311">
        <v>471913.94</v>
      </c>
      <c r="H180" s="312"/>
      <c r="I180" s="313"/>
      <c r="J180" s="47"/>
      <c r="K180" s="24"/>
      <c r="L180" s="96" t="s">
        <v>446</v>
      </c>
      <c r="M180" s="97"/>
      <c r="N180" s="97"/>
      <c r="O180" s="97"/>
      <c r="P180" s="97"/>
      <c r="Q180" s="311">
        <v>648305.31000000006</v>
      </c>
      <c r="R180" s="312"/>
      <c r="S180" s="313"/>
    </row>
    <row r="181" spans="1:19" ht="25.5" customHeight="1" thickBot="1" x14ac:dyDescent="0.3">
      <c r="A181" s="19"/>
      <c r="B181" s="101" t="s">
        <v>242</v>
      </c>
      <c r="C181" s="102"/>
      <c r="D181" s="102"/>
      <c r="E181" s="102"/>
      <c r="F181" s="102"/>
      <c r="G181" s="307">
        <v>489169.3</v>
      </c>
      <c r="H181" s="308"/>
      <c r="I181" s="309"/>
      <c r="J181" s="47"/>
      <c r="K181" s="19"/>
      <c r="L181" s="101" t="s">
        <v>242</v>
      </c>
      <c r="M181" s="102"/>
      <c r="N181" s="102"/>
      <c r="O181" s="102"/>
      <c r="P181" s="102"/>
      <c r="Q181" s="307">
        <v>634037.6</v>
      </c>
      <c r="R181" s="308"/>
      <c r="S181" s="309"/>
    </row>
    <row r="182" spans="1:19" ht="25.5" customHeight="1" thickBot="1" x14ac:dyDescent="0.3">
      <c r="A182" s="19"/>
      <c r="B182" s="106" t="s">
        <v>444</v>
      </c>
      <c r="C182" s="107"/>
      <c r="D182" s="107"/>
      <c r="E182" s="107"/>
      <c r="F182" s="107"/>
      <c r="G182" s="307">
        <v>162082.6</v>
      </c>
      <c r="H182" s="308"/>
      <c r="I182" s="309"/>
      <c r="J182" s="47"/>
      <c r="K182" s="19"/>
      <c r="L182" s="106" t="s">
        <v>444</v>
      </c>
      <c r="M182" s="107"/>
      <c r="N182" s="107"/>
      <c r="O182" s="107"/>
      <c r="P182" s="107"/>
      <c r="Q182" s="307">
        <v>140645.17000000001</v>
      </c>
      <c r="R182" s="308"/>
      <c r="S182" s="309"/>
    </row>
    <row r="183" spans="1:19" ht="15" customHeight="1" x14ac:dyDescent="0.25">
      <c r="A183" s="4"/>
      <c r="B183" s="314"/>
      <c r="C183" s="314"/>
      <c r="D183" s="314"/>
      <c r="E183" s="314"/>
      <c r="F183" s="314"/>
      <c r="G183" s="314"/>
      <c r="H183" s="314"/>
      <c r="I183" s="314"/>
      <c r="K183" s="4"/>
      <c r="L183" s="310"/>
      <c r="M183" s="310"/>
      <c r="N183" s="310"/>
      <c r="O183" s="310"/>
      <c r="P183" s="310"/>
      <c r="Q183" s="310"/>
      <c r="R183" s="310"/>
      <c r="S183" s="310"/>
    </row>
    <row r="184" spans="1:19" ht="15.75" x14ac:dyDescent="0.25">
      <c r="A184" s="30"/>
      <c r="C184" s="30"/>
      <c r="K184" s="30"/>
      <c r="N184" s="30"/>
    </row>
    <row r="185" spans="1:19" ht="15.75" x14ac:dyDescent="0.25">
      <c r="A185" s="30"/>
      <c r="C185" s="30"/>
      <c r="K185" s="30"/>
      <c r="N185" s="30"/>
    </row>
    <row r="186" spans="1:19" x14ac:dyDescent="0.25">
      <c r="A186" s="3"/>
      <c r="B186" s="3"/>
      <c r="C186" s="3"/>
      <c r="D186" s="3"/>
      <c r="E186" s="4" t="s">
        <v>204</v>
      </c>
      <c r="F186" s="3"/>
      <c r="G186" s="3"/>
      <c r="H186" s="3"/>
      <c r="I186" s="3"/>
      <c r="K186" s="3"/>
      <c r="L186" s="3"/>
      <c r="M186" s="3"/>
      <c r="N186" s="3"/>
      <c r="O186" s="4" t="s">
        <v>204</v>
      </c>
      <c r="P186" s="3"/>
      <c r="Q186" s="3"/>
      <c r="R186" s="3"/>
      <c r="S186" s="3"/>
    </row>
    <row r="187" spans="1:19" x14ac:dyDescent="0.25">
      <c r="A187" s="3" t="s">
        <v>205</v>
      </c>
      <c r="B187" s="3"/>
      <c r="C187" s="3"/>
      <c r="D187" s="3" t="s">
        <v>271</v>
      </c>
      <c r="E187" s="3"/>
      <c r="F187" s="3"/>
      <c r="G187" s="3"/>
      <c r="H187" s="3"/>
      <c r="I187" s="3"/>
      <c r="K187" s="3" t="s">
        <v>205</v>
      </c>
      <c r="L187" s="3"/>
      <c r="M187" s="3"/>
      <c r="N187" s="3" t="s">
        <v>272</v>
      </c>
      <c r="O187" s="3"/>
      <c r="P187" s="3"/>
      <c r="Q187" s="3"/>
      <c r="R187" s="3"/>
      <c r="S187" s="3"/>
    </row>
    <row r="188" spans="1:19" x14ac:dyDescent="0.25">
      <c r="A188" s="3"/>
      <c r="B188" s="5" t="s">
        <v>440</v>
      </c>
      <c r="C188" s="3"/>
      <c r="D188" s="3"/>
      <c r="E188" s="3"/>
      <c r="F188" s="3"/>
      <c r="G188" s="3"/>
      <c r="H188" s="3"/>
      <c r="I188" s="3"/>
      <c r="K188" s="3"/>
      <c r="L188" s="5" t="s">
        <v>440</v>
      </c>
      <c r="M188" s="3"/>
      <c r="N188" s="3"/>
      <c r="O188" s="3"/>
      <c r="P188" s="3"/>
      <c r="Q188" s="3"/>
      <c r="R188" s="3"/>
      <c r="S188" s="3"/>
    </row>
    <row r="189" spans="1:19" ht="15.75" thickBot="1" x14ac:dyDescent="0.3">
      <c r="A189" s="3"/>
      <c r="B189" s="5" t="s">
        <v>206</v>
      </c>
      <c r="C189" s="3"/>
      <c r="D189" s="3"/>
      <c r="E189" s="3"/>
      <c r="F189" s="3">
        <v>3468.8</v>
      </c>
      <c r="G189" s="3" t="s">
        <v>207</v>
      </c>
      <c r="H189" s="3"/>
      <c r="I189" s="3"/>
      <c r="K189" s="3"/>
      <c r="L189" s="5" t="s">
        <v>206</v>
      </c>
      <c r="M189" s="3"/>
      <c r="N189" s="3"/>
      <c r="O189" s="3"/>
      <c r="P189" s="3">
        <v>2201</v>
      </c>
      <c r="Q189" s="3" t="s">
        <v>207</v>
      </c>
      <c r="R189" s="3"/>
      <c r="S189" s="3"/>
    </row>
    <row r="190" spans="1:19" ht="15" customHeight="1" x14ac:dyDescent="0.25">
      <c r="A190" s="175" t="s">
        <v>209</v>
      </c>
      <c r="B190" s="177" t="s">
        <v>210</v>
      </c>
      <c r="C190" s="178"/>
      <c r="D190" s="178"/>
      <c r="E190" s="178"/>
      <c r="F190" s="178"/>
      <c r="G190" s="180" t="s">
        <v>442</v>
      </c>
      <c r="H190" s="181"/>
      <c r="I190" s="175" t="s">
        <v>212</v>
      </c>
      <c r="J190" s="3"/>
      <c r="K190" s="175" t="s">
        <v>209</v>
      </c>
      <c r="L190" s="177" t="s">
        <v>210</v>
      </c>
      <c r="M190" s="178"/>
      <c r="N190" s="178"/>
      <c r="O190" s="178"/>
      <c r="P190" s="178"/>
      <c r="Q190" s="180" t="s">
        <v>441</v>
      </c>
      <c r="R190" s="181"/>
      <c r="S190" s="175" t="s">
        <v>212</v>
      </c>
    </row>
    <row r="191" spans="1:19" ht="76.5" customHeight="1" thickBot="1" x14ac:dyDescent="0.3">
      <c r="A191" s="176"/>
      <c r="B191" s="179"/>
      <c r="C191" s="179"/>
      <c r="D191" s="179"/>
      <c r="E191" s="179"/>
      <c r="F191" s="179"/>
      <c r="G191" s="182"/>
      <c r="H191" s="183"/>
      <c r="I191" s="184"/>
      <c r="J191" s="3"/>
      <c r="K191" s="176"/>
      <c r="L191" s="179"/>
      <c r="M191" s="179"/>
      <c r="N191" s="179"/>
      <c r="O191" s="179"/>
      <c r="P191" s="179"/>
      <c r="Q191" s="182"/>
      <c r="R191" s="183"/>
      <c r="S191" s="184"/>
    </row>
    <row r="192" spans="1:19" ht="15" customHeight="1" x14ac:dyDescent="0.25">
      <c r="A192" s="185" t="s">
        <v>213</v>
      </c>
      <c r="B192" s="187" t="s">
        <v>354</v>
      </c>
      <c r="C192" s="188"/>
      <c r="D192" s="188"/>
      <c r="E192" s="188"/>
      <c r="F192" s="188"/>
      <c r="G192" s="190">
        <v>65531.45</v>
      </c>
      <c r="H192" s="191"/>
      <c r="I192" s="192"/>
      <c r="J192" s="51"/>
      <c r="K192" s="185" t="s">
        <v>213</v>
      </c>
      <c r="L192" s="187" t="s">
        <v>354</v>
      </c>
      <c r="M192" s="188"/>
      <c r="N192" s="188"/>
      <c r="O192" s="188"/>
      <c r="P192" s="188"/>
      <c r="Q192" s="190">
        <v>43102.6</v>
      </c>
      <c r="R192" s="191"/>
      <c r="S192" s="192"/>
    </row>
    <row r="193" spans="1:19" ht="8.25" customHeight="1" thickBot="1" x14ac:dyDescent="0.3">
      <c r="A193" s="186"/>
      <c r="B193" s="189"/>
      <c r="C193" s="189"/>
      <c r="D193" s="189"/>
      <c r="E193" s="189"/>
      <c r="F193" s="189"/>
      <c r="G193" s="193"/>
      <c r="H193" s="194"/>
      <c r="I193" s="128"/>
      <c r="J193" s="52"/>
      <c r="K193" s="186"/>
      <c r="L193" s="189"/>
      <c r="M193" s="189"/>
      <c r="N193" s="189"/>
      <c r="O193" s="189"/>
      <c r="P193" s="189"/>
      <c r="Q193" s="193"/>
      <c r="R193" s="194"/>
      <c r="S193" s="128"/>
    </row>
    <row r="194" spans="1:19" ht="15" customHeight="1" x14ac:dyDescent="0.25">
      <c r="A194" s="6"/>
      <c r="B194" s="161" t="s">
        <v>214</v>
      </c>
      <c r="C194" s="162"/>
      <c r="D194" s="162"/>
      <c r="E194" s="162"/>
      <c r="F194" s="162"/>
      <c r="G194" s="163">
        <f>1.64*12*F189</f>
        <v>68265.983999999997</v>
      </c>
      <c r="H194" s="164"/>
      <c r="I194" s="169" t="s">
        <v>215</v>
      </c>
      <c r="J194" s="63"/>
      <c r="K194" s="6"/>
      <c r="L194" s="161" t="s">
        <v>214</v>
      </c>
      <c r="M194" s="162"/>
      <c r="N194" s="162"/>
      <c r="O194" s="162"/>
      <c r="P194" s="162"/>
      <c r="Q194" s="163">
        <f>1.65*12*P189</f>
        <v>43579.799999999996</v>
      </c>
      <c r="R194" s="164"/>
      <c r="S194" s="169" t="s">
        <v>215</v>
      </c>
    </row>
    <row r="195" spans="1:19" ht="13.5" customHeight="1" thickBot="1" x14ac:dyDescent="0.3">
      <c r="A195" s="7"/>
      <c r="B195" s="171" t="s">
        <v>216</v>
      </c>
      <c r="C195" s="172"/>
      <c r="D195" s="172"/>
      <c r="E195" s="172"/>
      <c r="F195" s="172"/>
      <c r="G195" s="165"/>
      <c r="H195" s="166"/>
      <c r="I195" s="170"/>
      <c r="J195" s="43"/>
      <c r="K195" s="7"/>
      <c r="L195" s="171" t="s">
        <v>216</v>
      </c>
      <c r="M195" s="172"/>
      <c r="N195" s="172"/>
      <c r="O195" s="172"/>
      <c r="P195" s="172"/>
      <c r="Q195" s="165"/>
      <c r="R195" s="166"/>
      <c r="S195" s="170"/>
    </row>
    <row r="196" spans="1:19" ht="13.5" customHeight="1" thickBot="1" x14ac:dyDescent="0.3">
      <c r="A196" s="7"/>
      <c r="B196" s="173" t="s">
        <v>217</v>
      </c>
      <c r="C196" s="174"/>
      <c r="D196" s="174"/>
      <c r="E196" s="174"/>
      <c r="F196" s="174"/>
      <c r="G196" s="167"/>
      <c r="H196" s="168"/>
      <c r="I196" s="8" t="s">
        <v>218</v>
      </c>
      <c r="J196" s="42"/>
      <c r="K196" s="7"/>
      <c r="L196" s="173" t="s">
        <v>217</v>
      </c>
      <c r="M196" s="174"/>
      <c r="N196" s="174"/>
      <c r="O196" s="174"/>
      <c r="P196" s="174"/>
      <c r="Q196" s="167"/>
      <c r="R196" s="168"/>
      <c r="S196" s="8" t="s">
        <v>218</v>
      </c>
    </row>
    <row r="197" spans="1:19" ht="17.25" customHeight="1" thickBot="1" x14ac:dyDescent="0.3">
      <c r="A197" s="7"/>
      <c r="B197" s="141" t="s">
        <v>219</v>
      </c>
      <c r="C197" s="142"/>
      <c r="D197" s="142"/>
      <c r="E197" s="142"/>
      <c r="F197" s="142"/>
      <c r="G197" s="143">
        <v>0</v>
      </c>
      <c r="H197" s="144"/>
      <c r="I197" s="8" t="s">
        <v>220</v>
      </c>
      <c r="J197" s="43"/>
      <c r="K197" s="7"/>
      <c r="L197" s="141" t="s">
        <v>219</v>
      </c>
      <c r="M197" s="142"/>
      <c r="N197" s="142"/>
      <c r="O197" s="142"/>
      <c r="P197" s="142"/>
      <c r="Q197" s="143">
        <f>1748.85*12</f>
        <v>20986.199999999997</v>
      </c>
      <c r="R197" s="144"/>
      <c r="S197" s="8" t="s">
        <v>220</v>
      </c>
    </row>
    <row r="198" spans="1:19" ht="17.25" customHeight="1" thickBot="1" x14ac:dyDescent="0.3">
      <c r="A198" s="7"/>
      <c r="B198" s="141" t="s">
        <v>221</v>
      </c>
      <c r="C198" s="142"/>
      <c r="D198" s="142"/>
      <c r="E198" s="142"/>
      <c r="F198" s="142"/>
      <c r="G198" s="143">
        <f>0.474*12*F189</f>
        <v>19730.5344</v>
      </c>
      <c r="H198" s="144"/>
      <c r="I198" s="8" t="s">
        <v>222</v>
      </c>
      <c r="J198" s="55"/>
      <c r="K198" s="7"/>
      <c r="L198" s="141" t="s">
        <v>221</v>
      </c>
      <c r="M198" s="142"/>
      <c r="N198" s="142"/>
      <c r="O198" s="142"/>
      <c r="P198" s="142"/>
      <c r="Q198" s="143">
        <f>0.474*12*P189</f>
        <v>12519.287999999999</v>
      </c>
      <c r="R198" s="144"/>
      <c r="S198" s="8" t="s">
        <v>222</v>
      </c>
    </row>
    <row r="199" spans="1:19" ht="13.5" customHeight="1" x14ac:dyDescent="0.25">
      <c r="A199" s="9"/>
      <c r="B199" s="145" t="s">
        <v>223</v>
      </c>
      <c r="C199" s="146"/>
      <c r="D199" s="146"/>
      <c r="E199" s="146"/>
      <c r="F199" s="146"/>
      <c r="G199" s="86">
        <f>2.28*12*F189</f>
        <v>94906.368000000002</v>
      </c>
      <c r="H199" s="147"/>
      <c r="I199" s="152" t="s">
        <v>224</v>
      </c>
      <c r="J199" s="56"/>
      <c r="K199" s="9"/>
      <c r="L199" s="145" t="s">
        <v>223</v>
      </c>
      <c r="M199" s="146"/>
      <c r="N199" s="146"/>
      <c r="O199" s="146"/>
      <c r="P199" s="146"/>
      <c r="Q199" s="86">
        <f>1.77*12*P189</f>
        <v>46749.240000000005</v>
      </c>
      <c r="R199" s="147"/>
      <c r="S199" s="152" t="s">
        <v>224</v>
      </c>
    </row>
    <row r="200" spans="1:19" ht="13.5" customHeight="1" x14ac:dyDescent="0.25">
      <c r="A200" s="10"/>
      <c r="B200" s="155" t="s">
        <v>226</v>
      </c>
      <c r="C200" s="156"/>
      <c r="D200" s="156"/>
      <c r="E200" s="156"/>
      <c r="F200" s="156"/>
      <c r="G200" s="148"/>
      <c r="H200" s="149"/>
      <c r="I200" s="153"/>
      <c r="J200" s="56"/>
      <c r="K200" s="10"/>
      <c r="L200" s="155" t="s">
        <v>226</v>
      </c>
      <c r="M200" s="156"/>
      <c r="N200" s="156"/>
      <c r="O200" s="156"/>
      <c r="P200" s="156"/>
      <c r="Q200" s="148"/>
      <c r="R200" s="149"/>
      <c r="S200" s="153"/>
    </row>
    <row r="201" spans="1:19" ht="13.5" customHeight="1" thickBot="1" x14ac:dyDescent="0.3">
      <c r="A201" s="10"/>
      <c r="B201" s="157" t="s">
        <v>227</v>
      </c>
      <c r="C201" s="158"/>
      <c r="D201" s="158"/>
      <c r="E201" s="158"/>
      <c r="F201" s="158"/>
      <c r="G201" s="148"/>
      <c r="H201" s="149"/>
      <c r="I201" s="154"/>
      <c r="J201" s="56"/>
      <c r="K201" s="10"/>
      <c r="L201" s="157" t="s">
        <v>227</v>
      </c>
      <c r="M201" s="158"/>
      <c r="N201" s="158"/>
      <c r="O201" s="158"/>
      <c r="P201" s="158"/>
      <c r="Q201" s="148"/>
      <c r="R201" s="149"/>
      <c r="S201" s="154"/>
    </row>
    <row r="202" spans="1:19" ht="13.5" customHeight="1" thickBot="1" x14ac:dyDescent="0.3">
      <c r="A202" s="10"/>
      <c r="B202" s="159" t="s">
        <v>228</v>
      </c>
      <c r="C202" s="160"/>
      <c r="D202" s="160"/>
      <c r="E202" s="160"/>
      <c r="F202" s="160"/>
      <c r="G202" s="150"/>
      <c r="H202" s="151"/>
      <c r="I202" s="11" t="s">
        <v>229</v>
      </c>
      <c r="J202" s="57"/>
      <c r="K202" s="10"/>
      <c r="L202" s="159" t="s">
        <v>228</v>
      </c>
      <c r="M202" s="160"/>
      <c r="N202" s="160"/>
      <c r="O202" s="160"/>
      <c r="P202" s="160"/>
      <c r="Q202" s="150"/>
      <c r="R202" s="151"/>
      <c r="S202" s="11" t="s">
        <v>229</v>
      </c>
    </row>
    <row r="203" spans="1:19" ht="13.5" customHeight="1" x14ac:dyDescent="0.25">
      <c r="A203" s="12"/>
      <c r="B203" s="125" t="s">
        <v>230</v>
      </c>
      <c r="C203" s="126"/>
      <c r="D203" s="126"/>
      <c r="E203" s="126"/>
      <c r="F203" s="126"/>
      <c r="G203" s="86">
        <f>0.048*12*F189</f>
        <v>1998.0288000000003</v>
      </c>
      <c r="H203" s="87"/>
      <c r="I203" s="129" t="s">
        <v>220</v>
      </c>
      <c r="J203" s="43"/>
      <c r="K203" s="12"/>
      <c r="L203" s="125" t="s">
        <v>230</v>
      </c>
      <c r="M203" s="126"/>
      <c r="N203" s="126"/>
      <c r="O203" s="126"/>
      <c r="P203" s="126"/>
      <c r="Q203" s="86">
        <f>0.04*12*P189</f>
        <v>1056.48</v>
      </c>
      <c r="R203" s="87"/>
      <c r="S203" s="129" t="s">
        <v>220</v>
      </c>
    </row>
    <row r="204" spans="1:19" ht="13.5" customHeight="1" thickBot="1" x14ac:dyDescent="0.3">
      <c r="A204" s="7"/>
      <c r="B204" s="131" t="s">
        <v>231</v>
      </c>
      <c r="C204" s="132"/>
      <c r="D204" s="132"/>
      <c r="E204" s="132"/>
      <c r="F204" s="132"/>
      <c r="G204" s="127"/>
      <c r="H204" s="128"/>
      <c r="I204" s="130"/>
      <c r="J204" s="43"/>
      <c r="K204" s="7"/>
      <c r="L204" s="131" t="s">
        <v>231</v>
      </c>
      <c r="M204" s="132"/>
      <c r="N204" s="132"/>
      <c r="O204" s="132"/>
      <c r="P204" s="132"/>
      <c r="Q204" s="127"/>
      <c r="R204" s="128"/>
      <c r="S204" s="130"/>
    </row>
    <row r="205" spans="1:19" ht="15.75" customHeight="1" thickBot="1" x14ac:dyDescent="0.3">
      <c r="A205" s="13"/>
      <c r="B205" s="133" t="s">
        <v>232</v>
      </c>
      <c r="C205" s="134"/>
      <c r="D205" s="134"/>
      <c r="E205" s="134"/>
      <c r="F205" s="134"/>
      <c r="G205" s="135"/>
      <c r="H205" s="136"/>
      <c r="I205" s="14"/>
      <c r="J205" s="43"/>
      <c r="K205" s="13"/>
      <c r="L205" s="133" t="s">
        <v>232</v>
      </c>
      <c r="M205" s="134"/>
      <c r="N205" s="134"/>
      <c r="O205" s="134"/>
      <c r="P205" s="134"/>
      <c r="Q205" s="135"/>
      <c r="R205" s="136"/>
      <c r="S205" s="14"/>
    </row>
    <row r="206" spans="1:19" ht="49.5" customHeight="1" thickBot="1" x14ac:dyDescent="0.3">
      <c r="A206" s="13"/>
      <c r="B206" s="84" t="s">
        <v>233</v>
      </c>
      <c r="C206" s="85"/>
      <c r="D206" s="85"/>
      <c r="E206" s="85"/>
      <c r="F206" s="85"/>
      <c r="G206" s="86">
        <f>1.62*12*F189</f>
        <v>67433.472000000009</v>
      </c>
      <c r="H206" s="87"/>
      <c r="I206" s="299" t="s">
        <v>487</v>
      </c>
      <c r="J206" s="58"/>
      <c r="K206" s="13"/>
      <c r="L206" s="84" t="s">
        <v>233</v>
      </c>
      <c r="M206" s="85"/>
      <c r="N206" s="85"/>
      <c r="O206" s="85"/>
      <c r="P206" s="85"/>
      <c r="Q206" s="86">
        <f>1.45*12*P189</f>
        <v>38297.399999999994</v>
      </c>
      <c r="R206" s="87"/>
      <c r="S206" s="92" t="s">
        <v>488</v>
      </c>
    </row>
    <row r="207" spans="1:19" ht="51.75" customHeight="1" x14ac:dyDescent="0.25">
      <c r="A207" s="118"/>
      <c r="B207" s="121" t="s">
        <v>226</v>
      </c>
      <c r="C207" s="122"/>
      <c r="D207" s="122"/>
      <c r="E207" s="122"/>
      <c r="F207" s="122"/>
      <c r="G207" s="88"/>
      <c r="H207" s="89"/>
      <c r="I207" s="300"/>
      <c r="J207" s="41"/>
      <c r="K207" s="118"/>
      <c r="L207" s="121" t="s">
        <v>226</v>
      </c>
      <c r="M207" s="122"/>
      <c r="N207" s="122"/>
      <c r="O207" s="122"/>
      <c r="P207" s="122"/>
      <c r="Q207" s="88"/>
      <c r="R207" s="89"/>
      <c r="S207" s="93"/>
    </row>
    <row r="208" spans="1:19" ht="51.75" customHeight="1" x14ac:dyDescent="0.25">
      <c r="A208" s="119"/>
      <c r="B208" s="121" t="s">
        <v>227</v>
      </c>
      <c r="C208" s="122"/>
      <c r="D208" s="122"/>
      <c r="E208" s="122"/>
      <c r="F208" s="122"/>
      <c r="G208" s="88"/>
      <c r="H208" s="89"/>
      <c r="I208" s="300"/>
      <c r="J208" s="41"/>
      <c r="K208" s="119"/>
      <c r="L208" s="121" t="s">
        <v>227</v>
      </c>
      <c r="M208" s="122"/>
      <c r="N208" s="122"/>
      <c r="O208" s="122"/>
      <c r="P208" s="122"/>
      <c r="Q208" s="88"/>
      <c r="R208" s="89"/>
      <c r="S208" s="93"/>
    </row>
    <row r="209" spans="1:19" ht="51" customHeight="1" x14ac:dyDescent="0.25">
      <c r="A209" s="119"/>
      <c r="B209" s="121" t="s">
        <v>228</v>
      </c>
      <c r="C209" s="122"/>
      <c r="D209" s="122"/>
      <c r="E209" s="122"/>
      <c r="F209" s="122"/>
      <c r="G209" s="88"/>
      <c r="H209" s="89"/>
      <c r="I209" s="300"/>
      <c r="J209" s="41"/>
      <c r="K209" s="119"/>
      <c r="L209" s="121" t="s">
        <v>228</v>
      </c>
      <c r="M209" s="122"/>
      <c r="N209" s="122"/>
      <c r="O209" s="122"/>
      <c r="P209" s="122"/>
      <c r="Q209" s="88"/>
      <c r="R209" s="89"/>
      <c r="S209" s="93"/>
    </row>
    <row r="210" spans="1:19" ht="81.75" customHeight="1" thickBot="1" x14ac:dyDescent="0.3">
      <c r="A210" s="120"/>
      <c r="B210" s="123" t="s">
        <v>234</v>
      </c>
      <c r="C210" s="124"/>
      <c r="D210" s="124"/>
      <c r="E210" s="124"/>
      <c r="F210" s="124"/>
      <c r="G210" s="90"/>
      <c r="H210" s="91"/>
      <c r="I210" s="301"/>
      <c r="J210" s="41"/>
      <c r="K210" s="120"/>
      <c r="L210" s="123" t="s">
        <v>234</v>
      </c>
      <c r="M210" s="124"/>
      <c r="N210" s="124"/>
      <c r="O210" s="124"/>
      <c r="P210" s="124"/>
      <c r="Q210" s="90"/>
      <c r="R210" s="91"/>
      <c r="S210" s="94"/>
    </row>
    <row r="211" spans="1:19" ht="2.25" hidden="1" customHeight="1" x14ac:dyDescent="0.25">
      <c r="A211" s="15"/>
      <c r="B211" s="137" t="s">
        <v>248</v>
      </c>
      <c r="C211" s="138"/>
      <c r="D211" s="138"/>
      <c r="E211" s="138"/>
      <c r="F211" s="138"/>
      <c r="G211" s="139"/>
      <c r="H211" s="140"/>
      <c r="I211" s="16"/>
      <c r="J211" s="42"/>
      <c r="K211" s="15"/>
      <c r="L211" s="137" t="s">
        <v>248</v>
      </c>
      <c r="M211" s="138"/>
      <c r="N211" s="138"/>
      <c r="O211" s="138"/>
      <c r="P211" s="138"/>
      <c r="Q211" s="139"/>
      <c r="R211" s="140"/>
      <c r="S211" s="16"/>
    </row>
    <row r="212" spans="1:19" ht="33.75" customHeight="1" thickBot="1" x14ac:dyDescent="0.3">
      <c r="A212" s="15"/>
      <c r="B212" s="137" t="s">
        <v>235</v>
      </c>
      <c r="C212" s="138"/>
      <c r="D212" s="138"/>
      <c r="E212" s="138"/>
      <c r="F212" s="138"/>
      <c r="G212" s="139"/>
      <c r="H212" s="140"/>
      <c r="I212" s="16"/>
      <c r="J212" s="43"/>
      <c r="K212" s="15"/>
      <c r="L212" s="137" t="s">
        <v>235</v>
      </c>
      <c r="M212" s="138"/>
      <c r="N212" s="138"/>
      <c r="O212" s="138"/>
      <c r="P212" s="138"/>
      <c r="Q212" s="139"/>
      <c r="R212" s="140"/>
      <c r="S212" s="16"/>
    </row>
    <row r="213" spans="1:19" ht="15" customHeight="1" thickBot="1" x14ac:dyDescent="0.3">
      <c r="A213" s="17"/>
      <c r="B213" s="78" t="s">
        <v>237</v>
      </c>
      <c r="C213" s="79"/>
      <c r="D213" s="79"/>
      <c r="E213" s="79"/>
      <c r="F213" s="79"/>
      <c r="G213" s="86">
        <f>0.12*12*F189</f>
        <v>4995.0720000000001</v>
      </c>
      <c r="H213" s="87"/>
      <c r="I213" s="108" t="s">
        <v>229</v>
      </c>
      <c r="J213" s="59"/>
      <c r="K213" s="17"/>
      <c r="L213" s="78" t="s">
        <v>237</v>
      </c>
      <c r="M213" s="79"/>
      <c r="N213" s="79"/>
      <c r="O213" s="79"/>
      <c r="P213" s="79"/>
      <c r="Q213" s="86">
        <v>3409</v>
      </c>
      <c r="R213" s="87"/>
      <c r="S213" s="108" t="s">
        <v>229</v>
      </c>
    </row>
    <row r="214" spans="1:19" ht="15.75" customHeight="1" thickBot="1" x14ac:dyDescent="0.3">
      <c r="A214" s="18"/>
      <c r="B214" s="110" t="s">
        <v>238</v>
      </c>
      <c r="C214" s="111"/>
      <c r="D214" s="111"/>
      <c r="E214" s="111"/>
      <c r="F214" s="111"/>
      <c r="G214" s="90"/>
      <c r="H214" s="91"/>
      <c r="I214" s="109"/>
      <c r="J214" s="59"/>
      <c r="K214" s="18"/>
      <c r="L214" s="110" t="s">
        <v>238</v>
      </c>
      <c r="M214" s="111"/>
      <c r="N214" s="111"/>
      <c r="O214" s="111"/>
      <c r="P214" s="111"/>
      <c r="Q214" s="90"/>
      <c r="R214" s="91"/>
      <c r="S214" s="109"/>
    </row>
    <row r="215" spans="1:19" ht="24.75" customHeight="1" thickBot="1" x14ac:dyDescent="0.3">
      <c r="A215" s="19"/>
      <c r="B215" s="112" t="s">
        <v>239</v>
      </c>
      <c r="C215" s="113"/>
      <c r="D215" s="113"/>
      <c r="E215" s="113"/>
      <c r="F215" s="113"/>
      <c r="G215" s="114">
        <f>SUM(G194:H214)</f>
        <v>257329.45920000004</v>
      </c>
      <c r="H215" s="115"/>
      <c r="I215" s="20"/>
      <c r="J215" s="58"/>
      <c r="K215" s="19"/>
      <c r="L215" s="112" t="s">
        <v>239</v>
      </c>
      <c r="M215" s="113"/>
      <c r="N215" s="113"/>
      <c r="O215" s="113"/>
      <c r="P215" s="113"/>
      <c r="Q215" s="114">
        <f>SUM(Q194:R214)</f>
        <v>166597.408</v>
      </c>
      <c r="R215" s="115"/>
      <c r="S215" s="20"/>
    </row>
    <row r="216" spans="1:19" ht="21.75" customHeight="1" thickBot="1" x14ac:dyDescent="0.3">
      <c r="A216" s="21"/>
      <c r="B216" s="101" t="s">
        <v>240</v>
      </c>
      <c r="C216" s="102"/>
      <c r="D216" s="102"/>
      <c r="E216" s="102"/>
      <c r="F216" s="102"/>
      <c r="G216" s="116">
        <f>G215*1.2</f>
        <v>308795.35104000004</v>
      </c>
      <c r="H216" s="117"/>
      <c r="I216" s="22"/>
      <c r="J216" s="45"/>
      <c r="K216" s="21"/>
      <c r="L216" s="101" t="s">
        <v>240</v>
      </c>
      <c r="M216" s="102"/>
      <c r="N216" s="102"/>
      <c r="O216" s="102"/>
      <c r="P216" s="102"/>
      <c r="Q216" s="116">
        <f>Q215*1.2</f>
        <v>199916.88959999999</v>
      </c>
      <c r="R216" s="117"/>
      <c r="S216" s="22"/>
    </row>
    <row r="217" spans="1:19" ht="21.75" customHeight="1" thickBot="1" x14ac:dyDescent="0.3">
      <c r="A217" s="24"/>
      <c r="B217" s="96" t="s">
        <v>446</v>
      </c>
      <c r="C217" s="97"/>
      <c r="D217" s="97"/>
      <c r="E217" s="97"/>
      <c r="F217" s="97"/>
      <c r="G217" s="311">
        <v>308940.61</v>
      </c>
      <c r="H217" s="312"/>
      <c r="I217" s="313"/>
      <c r="J217" s="41"/>
      <c r="K217" s="24"/>
      <c r="L217" s="96" t="s">
        <v>446</v>
      </c>
      <c r="M217" s="97"/>
      <c r="N217" s="97"/>
      <c r="O217" s="97"/>
      <c r="P217" s="97"/>
      <c r="Q217" s="311">
        <v>198367.98</v>
      </c>
      <c r="R217" s="312"/>
      <c r="S217" s="313"/>
    </row>
    <row r="218" spans="1:19" ht="21.75" customHeight="1" thickBot="1" x14ac:dyDescent="0.3">
      <c r="A218" s="19"/>
      <c r="B218" s="101" t="s">
        <v>242</v>
      </c>
      <c r="C218" s="102"/>
      <c r="D218" s="102"/>
      <c r="E218" s="102"/>
      <c r="F218" s="102"/>
      <c r="G218" s="307">
        <v>304728.78999999998</v>
      </c>
      <c r="H218" s="308"/>
      <c r="I218" s="309"/>
      <c r="J218" s="41"/>
      <c r="K218" s="19"/>
      <c r="L218" s="101" t="s">
        <v>242</v>
      </c>
      <c r="M218" s="102"/>
      <c r="N218" s="102"/>
      <c r="O218" s="102"/>
      <c r="P218" s="102"/>
      <c r="Q218" s="307">
        <v>196538.25</v>
      </c>
      <c r="R218" s="308"/>
      <c r="S218" s="309"/>
    </row>
    <row r="219" spans="1:19" ht="21.75" customHeight="1" thickBot="1" x14ac:dyDescent="0.3">
      <c r="A219" s="19"/>
      <c r="B219" s="106" t="s">
        <v>243</v>
      </c>
      <c r="C219" s="107"/>
      <c r="D219" s="107"/>
      <c r="E219" s="107"/>
      <c r="F219" s="107"/>
      <c r="G219" s="307">
        <v>69743.27</v>
      </c>
      <c r="H219" s="308"/>
      <c r="I219" s="309"/>
      <c r="J219" s="64"/>
      <c r="K219" s="19"/>
      <c r="L219" s="106" t="s">
        <v>444</v>
      </c>
      <c r="M219" s="107"/>
      <c r="N219" s="107"/>
      <c r="O219" s="107"/>
      <c r="P219" s="107"/>
      <c r="Q219" s="307">
        <v>44932.33</v>
      </c>
      <c r="R219" s="308"/>
      <c r="S219" s="309"/>
    </row>
    <row r="220" spans="1:19" ht="25.5" customHeight="1" x14ac:dyDescent="0.25">
      <c r="A220" s="4"/>
      <c r="B220" s="310"/>
      <c r="C220" s="310"/>
      <c r="D220" s="310"/>
      <c r="E220" s="310"/>
      <c r="F220" s="310"/>
      <c r="G220" s="310"/>
      <c r="H220" s="310"/>
      <c r="I220" s="310"/>
      <c r="K220" s="4"/>
      <c r="L220" s="310"/>
      <c r="M220" s="310"/>
      <c r="N220" s="310"/>
      <c r="O220" s="310"/>
      <c r="P220" s="310"/>
      <c r="Q220" s="310"/>
      <c r="R220" s="310"/>
      <c r="S220" s="310"/>
    </row>
    <row r="221" spans="1:19" x14ac:dyDescent="0.25">
      <c r="E221" s="50"/>
      <c r="I221" s="5"/>
      <c r="O221" s="50"/>
      <c r="S221" s="5"/>
    </row>
    <row r="222" spans="1:19" ht="15.75" customHeight="1" thickBot="1" x14ac:dyDescent="0.3">
      <c r="A222" s="3"/>
      <c r="I222" s="5"/>
      <c r="J222" s="61"/>
      <c r="K222" s="3"/>
      <c r="S222" s="5"/>
    </row>
    <row r="223" spans="1:19" ht="15.75" x14ac:dyDescent="0.25">
      <c r="A223" s="3"/>
      <c r="C223" s="30"/>
      <c r="K223" s="3"/>
      <c r="M223" s="30"/>
    </row>
    <row r="224" spans="1:19" ht="15.75" x14ac:dyDescent="0.25">
      <c r="A224" s="30"/>
      <c r="C224" s="30"/>
      <c r="K224" s="30"/>
      <c r="M224" s="30"/>
    </row>
    <row r="225" spans="1:3" ht="15.75" x14ac:dyDescent="0.25">
      <c r="A225" s="30"/>
      <c r="C225" s="30"/>
    </row>
    <row r="226" spans="1:3" ht="15.75" x14ac:dyDescent="0.25">
      <c r="C226" s="30"/>
    </row>
  </sheetData>
  <mergeCells count="660">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S28:S29"/>
    <mergeCell ref="B29:F29"/>
    <mergeCell ref="L29:P29"/>
    <mergeCell ref="B26:F26"/>
    <mergeCell ref="G26:H26"/>
    <mergeCell ref="L26:P26"/>
    <mergeCell ref="Q26:R26"/>
    <mergeCell ref="B27:F27"/>
    <mergeCell ref="G27:H27"/>
    <mergeCell ref="L27:P27"/>
    <mergeCell ref="Q27:R27"/>
    <mergeCell ref="B30:F30"/>
    <mergeCell ref="G30:H30"/>
    <mergeCell ref="L30:P30"/>
    <mergeCell ref="Q30:R30"/>
    <mergeCell ref="B31:F31"/>
    <mergeCell ref="G31:H31"/>
    <mergeCell ref="L31:P31"/>
    <mergeCell ref="Q31:R31"/>
    <mergeCell ref="B28:F28"/>
    <mergeCell ref="G28:H29"/>
    <mergeCell ref="I28:I29"/>
    <mergeCell ref="L28:P28"/>
    <mergeCell ref="Q28:R29"/>
    <mergeCell ref="B34:F34"/>
    <mergeCell ref="G34:I34"/>
    <mergeCell ref="L34:P34"/>
    <mergeCell ref="Q34:S34"/>
    <mergeCell ref="B35:I35"/>
    <mergeCell ref="L35:S35"/>
    <mergeCell ref="B32:F32"/>
    <mergeCell ref="G32:I32"/>
    <mergeCell ref="L32:P32"/>
    <mergeCell ref="Q32:S32"/>
    <mergeCell ref="B33:F33"/>
    <mergeCell ref="G33:I33"/>
    <mergeCell ref="L33:P33"/>
    <mergeCell ref="Q33:S33"/>
    <mergeCell ref="Q41:R42"/>
    <mergeCell ref="S41:S42"/>
    <mergeCell ref="A43:A44"/>
    <mergeCell ref="B43:F44"/>
    <mergeCell ref="G43:I44"/>
    <mergeCell ref="K43:K44"/>
    <mergeCell ref="L43:P44"/>
    <mergeCell ref="Q43:S44"/>
    <mergeCell ref="A41:A42"/>
    <mergeCell ref="B41:F42"/>
    <mergeCell ref="G41:H42"/>
    <mergeCell ref="I41:I42"/>
    <mergeCell ref="K41:K42"/>
    <mergeCell ref="L41:P42"/>
    <mergeCell ref="B45:F45"/>
    <mergeCell ref="G45:H47"/>
    <mergeCell ref="I45:I46"/>
    <mergeCell ref="L45:P45"/>
    <mergeCell ref="Q45:R47"/>
    <mergeCell ref="S45:S46"/>
    <mergeCell ref="B46:F46"/>
    <mergeCell ref="L46:P46"/>
    <mergeCell ref="B47:F47"/>
    <mergeCell ref="L47:P47"/>
    <mergeCell ref="B52:F52"/>
    <mergeCell ref="L52:P52"/>
    <mergeCell ref="B48:F48"/>
    <mergeCell ref="G48:H48"/>
    <mergeCell ref="L48:P48"/>
    <mergeCell ref="Q48:R48"/>
    <mergeCell ref="B49:F49"/>
    <mergeCell ref="G49:H49"/>
    <mergeCell ref="L49:P49"/>
    <mergeCell ref="Q49:R49"/>
    <mergeCell ref="B50:F50"/>
    <mergeCell ref="G50:H53"/>
    <mergeCell ref="I50:I52"/>
    <mergeCell ref="L50:P50"/>
    <mergeCell ref="B57:F57"/>
    <mergeCell ref="G57:H61"/>
    <mergeCell ref="I57:I61"/>
    <mergeCell ref="L57:P57"/>
    <mergeCell ref="Q50:R53"/>
    <mergeCell ref="B53:F53"/>
    <mergeCell ref="L53:P53"/>
    <mergeCell ref="Q57:R61"/>
    <mergeCell ref="S57:S61"/>
    <mergeCell ref="Q54:R55"/>
    <mergeCell ref="S54:S55"/>
    <mergeCell ref="B55:F55"/>
    <mergeCell ref="L55:P55"/>
    <mergeCell ref="B56:F56"/>
    <mergeCell ref="G56:H56"/>
    <mergeCell ref="L56:P56"/>
    <mergeCell ref="Q56:R56"/>
    <mergeCell ref="B54:F54"/>
    <mergeCell ref="G54:H55"/>
    <mergeCell ref="I54:I55"/>
    <mergeCell ref="L54:P54"/>
    <mergeCell ref="S50:S52"/>
    <mergeCell ref="B51:F51"/>
    <mergeCell ref="L51:P51"/>
    <mergeCell ref="A58:A61"/>
    <mergeCell ref="B58:F58"/>
    <mergeCell ref="K58:K61"/>
    <mergeCell ref="L58:P58"/>
    <mergeCell ref="B59:F59"/>
    <mergeCell ref="L59:P59"/>
    <mergeCell ref="B60:F60"/>
    <mergeCell ref="L60:P60"/>
    <mergeCell ref="B61:F61"/>
    <mergeCell ref="L61:P61"/>
    <mergeCell ref="S64:S65"/>
    <mergeCell ref="B65:F65"/>
    <mergeCell ref="L65:P65"/>
    <mergeCell ref="B62:F62"/>
    <mergeCell ref="G62:H62"/>
    <mergeCell ref="L62:P62"/>
    <mergeCell ref="Q62:R62"/>
    <mergeCell ref="B63:F63"/>
    <mergeCell ref="G63:H63"/>
    <mergeCell ref="L63:P63"/>
    <mergeCell ref="Q63:R63"/>
    <mergeCell ref="B66:F66"/>
    <mergeCell ref="G66:H66"/>
    <mergeCell ref="L66:P66"/>
    <mergeCell ref="Q66:R66"/>
    <mergeCell ref="B67:F67"/>
    <mergeCell ref="G67:H67"/>
    <mergeCell ref="L67:P67"/>
    <mergeCell ref="Q67:R67"/>
    <mergeCell ref="B64:F64"/>
    <mergeCell ref="G64:H65"/>
    <mergeCell ref="I64:I65"/>
    <mergeCell ref="L64:P64"/>
    <mergeCell ref="Q64:R65"/>
    <mergeCell ref="B70:F70"/>
    <mergeCell ref="G70:I70"/>
    <mergeCell ref="L70:P70"/>
    <mergeCell ref="Q70:S70"/>
    <mergeCell ref="B71:I71"/>
    <mergeCell ref="L71:S71"/>
    <mergeCell ref="B68:F68"/>
    <mergeCell ref="G68:I68"/>
    <mergeCell ref="L68:P68"/>
    <mergeCell ref="Q68:S68"/>
    <mergeCell ref="B69:F69"/>
    <mergeCell ref="G69:I69"/>
    <mergeCell ref="L69:P69"/>
    <mergeCell ref="Q69:S69"/>
    <mergeCell ref="Q77:R78"/>
    <mergeCell ref="S77:S78"/>
    <mergeCell ref="A79:A80"/>
    <mergeCell ref="B79:F80"/>
    <mergeCell ref="G79:I80"/>
    <mergeCell ref="K79:K80"/>
    <mergeCell ref="L79:P80"/>
    <mergeCell ref="Q79:S80"/>
    <mergeCell ref="A77:A78"/>
    <mergeCell ref="B77:F78"/>
    <mergeCell ref="G77:H78"/>
    <mergeCell ref="I77:I78"/>
    <mergeCell ref="K77:K78"/>
    <mergeCell ref="L77:P78"/>
    <mergeCell ref="B81:F81"/>
    <mergeCell ref="G81:H83"/>
    <mergeCell ref="I81:I82"/>
    <mergeCell ref="L81:P81"/>
    <mergeCell ref="Q81:R83"/>
    <mergeCell ref="S81:S82"/>
    <mergeCell ref="B82:F82"/>
    <mergeCell ref="L82:P82"/>
    <mergeCell ref="B83:F83"/>
    <mergeCell ref="L83:P83"/>
    <mergeCell ref="B88:F88"/>
    <mergeCell ref="L88:P88"/>
    <mergeCell ref="B84:F84"/>
    <mergeCell ref="G84:H84"/>
    <mergeCell ref="L84:P84"/>
    <mergeCell ref="Q84:R84"/>
    <mergeCell ref="B85:F85"/>
    <mergeCell ref="G85:H85"/>
    <mergeCell ref="L85:P85"/>
    <mergeCell ref="Q85:R85"/>
    <mergeCell ref="B86:F86"/>
    <mergeCell ref="G86:H89"/>
    <mergeCell ref="I86:I88"/>
    <mergeCell ref="L86:P86"/>
    <mergeCell ref="B93:F93"/>
    <mergeCell ref="G93:H97"/>
    <mergeCell ref="I93:I97"/>
    <mergeCell ref="L93:P93"/>
    <mergeCell ref="Q86:R89"/>
    <mergeCell ref="B89:F89"/>
    <mergeCell ref="L89:P89"/>
    <mergeCell ref="Q93:R97"/>
    <mergeCell ref="S93:S97"/>
    <mergeCell ref="Q90:R91"/>
    <mergeCell ref="S90:S91"/>
    <mergeCell ref="B91:F91"/>
    <mergeCell ref="L91:P91"/>
    <mergeCell ref="B92:F92"/>
    <mergeCell ref="G92:H92"/>
    <mergeCell ref="L92:P92"/>
    <mergeCell ref="Q92:R92"/>
    <mergeCell ref="B90:F90"/>
    <mergeCell ref="G90:H91"/>
    <mergeCell ref="I90:I91"/>
    <mergeCell ref="L90:P90"/>
    <mergeCell ref="S86:S88"/>
    <mergeCell ref="B87:F87"/>
    <mergeCell ref="L87:P87"/>
    <mergeCell ref="A94:A97"/>
    <mergeCell ref="B94:F94"/>
    <mergeCell ref="K94:K97"/>
    <mergeCell ref="L94:P94"/>
    <mergeCell ref="B95:F95"/>
    <mergeCell ref="L95:P95"/>
    <mergeCell ref="B96:F96"/>
    <mergeCell ref="L96:P96"/>
    <mergeCell ref="B97:F97"/>
    <mergeCell ref="L97:P97"/>
    <mergeCell ref="S100:S101"/>
    <mergeCell ref="B101:F101"/>
    <mergeCell ref="L101:P101"/>
    <mergeCell ref="B98:F98"/>
    <mergeCell ref="G98:H98"/>
    <mergeCell ref="L98:P98"/>
    <mergeCell ref="Q98:R98"/>
    <mergeCell ref="B99:F99"/>
    <mergeCell ref="G99:H99"/>
    <mergeCell ref="L99:P99"/>
    <mergeCell ref="Q99:R99"/>
    <mergeCell ref="B102:F102"/>
    <mergeCell ref="G102:H102"/>
    <mergeCell ref="L102:P102"/>
    <mergeCell ref="Q102:R102"/>
    <mergeCell ref="B103:F103"/>
    <mergeCell ref="G103:H103"/>
    <mergeCell ref="L103:P103"/>
    <mergeCell ref="Q103:R103"/>
    <mergeCell ref="B100:F100"/>
    <mergeCell ref="G100:H101"/>
    <mergeCell ref="I100:I101"/>
    <mergeCell ref="L100:P100"/>
    <mergeCell ref="Q100:R101"/>
    <mergeCell ref="B106:F106"/>
    <mergeCell ref="G106:I106"/>
    <mergeCell ref="L106:P106"/>
    <mergeCell ref="Q106:S106"/>
    <mergeCell ref="B107:I107"/>
    <mergeCell ref="L107:S107"/>
    <mergeCell ref="B104:F104"/>
    <mergeCell ref="G104:I104"/>
    <mergeCell ref="L104:P104"/>
    <mergeCell ref="Q104:S104"/>
    <mergeCell ref="B105:F105"/>
    <mergeCell ref="G105:I105"/>
    <mergeCell ref="L105:P105"/>
    <mergeCell ref="Q105:S105"/>
    <mergeCell ref="Q114:R115"/>
    <mergeCell ref="S114:S115"/>
    <mergeCell ref="A116:A117"/>
    <mergeCell ref="B116:F117"/>
    <mergeCell ref="G116:I117"/>
    <mergeCell ref="K116:K117"/>
    <mergeCell ref="L116:P117"/>
    <mergeCell ref="Q116:S117"/>
    <mergeCell ref="A114:A115"/>
    <mergeCell ref="B114:F115"/>
    <mergeCell ref="G114:H115"/>
    <mergeCell ref="I114:I115"/>
    <mergeCell ref="K114:K115"/>
    <mergeCell ref="L114:P115"/>
    <mergeCell ref="B118:F118"/>
    <mergeCell ref="G118:H120"/>
    <mergeCell ref="I118:I119"/>
    <mergeCell ref="L118:P118"/>
    <mergeCell ref="Q118:R120"/>
    <mergeCell ref="S118:S119"/>
    <mergeCell ref="B119:F119"/>
    <mergeCell ref="L119:P119"/>
    <mergeCell ref="B120:F120"/>
    <mergeCell ref="L120:P120"/>
    <mergeCell ref="B125:F125"/>
    <mergeCell ref="L125:P125"/>
    <mergeCell ref="B121:F121"/>
    <mergeCell ref="G121:H121"/>
    <mergeCell ref="L121:P121"/>
    <mergeCell ref="Q121:R121"/>
    <mergeCell ref="B122:F122"/>
    <mergeCell ref="G122:H122"/>
    <mergeCell ref="L122:P122"/>
    <mergeCell ref="Q122:R122"/>
    <mergeCell ref="B123:F123"/>
    <mergeCell ref="G123:H126"/>
    <mergeCell ref="I123:I125"/>
    <mergeCell ref="L123:P123"/>
    <mergeCell ref="B130:F130"/>
    <mergeCell ref="G130:H134"/>
    <mergeCell ref="I130:I134"/>
    <mergeCell ref="L130:P130"/>
    <mergeCell ref="Q123:R126"/>
    <mergeCell ref="B126:F126"/>
    <mergeCell ref="L126:P126"/>
    <mergeCell ref="Q130:R134"/>
    <mergeCell ref="S130:S134"/>
    <mergeCell ref="Q127:R128"/>
    <mergeCell ref="S127:S128"/>
    <mergeCell ref="B128:F128"/>
    <mergeCell ref="L128:P128"/>
    <mergeCell ref="B129:F129"/>
    <mergeCell ref="G129:H129"/>
    <mergeCell ref="L129:P129"/>
    <mergeCell ref="Q129:R129"/>
    <mergeCell ref="B127:F127"/>
    <mergeCell ref="G127:H128"/>
    <mergeCell ref="I127:I128"/>
    <mergeCell ref="L127:P127"/>
    <mergeCell ref="S123:S125"/>
    <mergeCell ref="B124:F124"/>
    <mergeCell ref="L124:P124"/>
    <mergeCell ref="A131:A134"/>
    <mergeCell ref="B131:F131"/>
    <mergeCell ref="K131:K134"/>
    <mergeCell ref="L131:P131"/>
    <mergeCell ref="B132:F132"/>
    <mergeCell ref="L132:P132"/>
    <mergeCell ref="B133:F133"/>
    <mergeCell ref="L133:P133"/>
    <mergeCell ref="B134:F134"/>
    <mergeCell ref="L134:P134"/>
    <mergeCell ref="S137:S138"/>
    <mergeCell ref="B138:F138"/>
    <mergeCell ref="L138:P138"/>
    <mergeCell ref="B135:F135"/>
    <mergeCell ref="G135:H135"/>
    <mergeCell ref="L135:P135"/>
    <mergeCell ref="Q135:R135"/>
    <mergeCell ref="B136:F136"/>
    <mergeCell ref="G136:H136"/>
    <mergeCell ref="L136:P136"/>
    <mergeCell ref="Q136:R136"/>
    <mergeCell ref="B139:F139"/>
    <mergeCell ref="G139:H139"/>
    <mergeCell ref="L139:P139"/>
    <mergeCell ref="Q139:R139"/>
    <mergeCell ref="B140:F140"/>
    <mergeCell ref="G140:H140"/>
    <mergeCell ref="L140:P140"/>
    <mergeCell ref="Q140:R140"/>
    <mergeCell ref="B137:F137"/>
    <mergeCell ref="G137:H138"/>
    <mergeCell ref="I137:I138"/>
    <mergeCell ref="L137:P137"/>
    <mergeCell ref="Q137:R138"/>
    <mergeCell ref="B143:F143"/>
    <mergeCell ref="G143:I143"/>
    <mergeCell ref="L143:P143"/>
    <mergeCell ref="Q143:S143"/>
    <mergeCell ref="B144:I144"/>
    <mergeCell ref="L144:S144"/>
    <mergeCell ref="B141:F141"/>
    <mergeCell ref="G141:I141"/>
    <mergeCell ref="L141:P141"/>
    <mergeCell ref="Q141:S141"/>
    <mergeCell ref="B142:F142"/>
    <mergeCell ref="G142:I142"/>
    <mergeCell ref="L142:P142"/>
    <mergeCell ref="Q142:S142"/>
    <mergeCell ref="Q153:R154"/>
    <mergeCell ref="S153:S154"/>
    <mergeCell ref="A155:A156"/>
    <mergeCell ref="B155:F156"/>
    <mergeCell ref="G155:I156"/>
    <mergeCell ref="K155:K156"/>
    <mergeCell ref="L155:P156"/>
    <mergeCell ref="Q155:S156"/>
    <mergeCell ref="A153:A154"/>
    <mergeCell ref="B153:F154"/>
    <mergeCell ref="G153:H154"/>
    <mergeCell ref="I153:I154"/>
    <mergeCell ref="K153:K154"/>
    <mergeCell ref="L153:P154"/>
    <mergeCell ref="B157:F157"/>
    <mergeCell ref="G157:H159"/>
    <mergeCell ref="I157:I158"/>
    <mergeCell ref="L157:P157"/>
    <mergeCell ref="Q157:R159"/>
    <mergeCell ref="S157:S158"/>
    <mergeCell ref="B158:F158"/>
    <mergeCell ref="L158:P158"/>
    <mergeCell ref="B159:F159"/>
    <mergeCell ref="L159:P159"/>
    <mergeCell ref="B164:F164"/>
    <mergeCell ref="L164:P164"/>
    <mergeCell ref="B160:F160"/>
    <mergeCell ref="G160:H160"/>
    <mergeCell ref="L160:P160"/>
    <mergeCell ref="Q160:R160"/>
    <mergeCell ref="B161:F161"/>
    <mergeCell ref="G161:H161"/>
    <mergeCell ref="L161:P161"/>
    <mergeCell ref="Q161:R161"/>
    <mergeCell ref="B162:F162"/>
    <mergeCell ref="G162:H165"/>
    <mergeCell ref="I162:I164"/>
    <mergeCell ref="L162:P162"/>
    <mergeCell ref="B169:F169"/>
    <mergeCell ref="G169:H173"/>
    <mergeCell ref="I169:I173"/>
    <mergeCell ref="L169:P169"/>
    <mergeCell ref="Q162:R165"/>
    <mergeCell ref="B165:F165"/>
    <mergeCell ref="L165:P165"/>
    <mergeCell ref="Q169:R173"/>
    <mergeCell ref="S169:S173"/>
    <mergeCell ref="Q166:R167"/>
    <mergeCell ref="S166:S167"/>
    <mergeCell ref="B167:F167"/>
    <mergeCell ref="L167:P167"/>
    <mergeCell ref="B168:F168"/>
    <mergeCell ref="G168:H168"/>
    <mergeCell ref="L168:P168"/>
    <mergeCell ref="Q168:R168"/>
    <mergeCell ref="B166:F166"/>
    <mergeCell ref="G166:H167"/>
    <mergeCell ref="I166:I167"/>
    <mergeCell ref="L166:P166"/>
    <mergeCell ref="S162:S164"/>
    <mergeCell ref="B163:F163"/>
    <mergeCell ref="L163:P163"/>
    <mergeCell ref="A170:A173"/>
    <mergeCell ref="B170:F170"/>
    <mergeCell ref="K170:K173"/>
    <mergeCell ref="L170:P170"/>
    <mergeCell ref="B171:F171"/>
    <mergeCell ref="L171:P171"/>
    <mergeCell ref="B172:F172"/>
    <mergeCell ref="L172:P172"/>
    <mergeCell ref="B173:F173"/>
    <mergeCell ref="L173:P173"/>
    <mergeCell ref="S176:S177"/>
    <mergeCell ref="B177:F177"/>
    <mergeCell ref="L177:P177"/>
    <mergeCell ref="B174:F174"/>
    <mergeCell ref="G174:H174"/>
    <mergeCell ref="L174:P174"/>
    <mergeCell ref="Q174:R174"/>
    <mergeCell ref="B175:F175"/>
    <mergeCell ref="G175:H175"/>
    <mergeCell ref="L175:P175"/>
    <mergeCell ref="Q175:R175"/>
    <mergeCell ref="B178:F178"/>
    <mergeCell ref="G178:H178"/>
    <mergeCell ref="L178:P178"/>
    <mergeCell ref="Q178:R178"/>
    <mergeCell ref="B179:F179"/>
    <mergeCell ref="G179:H179"/>
    <mergeCell ref="L179:P179"/>
    <mergeCell ref="Q179:R179"/>
    <mergeCell ref="B176:F176"/>
    <mergeCell ref="G176:H177"/>
    <mergeCell ref="I176:I177"/>
    <mergeCell ref="L176:P176"/>
    <mergeCell ref="Q176:R177"/>
    <mergeCell ref="B182:F182"/>
    <mergeCell ref="G182:I182"/>
    <mergeCell ref="L182:P182"/>
    <mergeCell ref="Q182:S182"/>
    <mergeCell ref="B183:I183"/>
    <mergeCell ref="L183:S183"/>
    <mergeCell ref="B180:F180"/>
    <mergeCell ref="G180:I180"/>
    <mergeCell ref="L180:P180"/>
    <mergeCell ref="Q180:S180"/>
    <mergeCell ref="B181:F181"/>
    <mergeCell ref="G181:I181"/>
    <mergeCell ref="L181:P181"/>
    <mergeCell ref="Q181:S181"/>
    <mergeCell ref="Q190:R191"/>
    <mergeCell ref="S190:S191"/>
    <mergeCell ref="A192:A193"/>
    <mergeCell ref="B192:F193"/>
    <mergeCell ref="G192:I193"/>
    <mergeCell ref="K192:K193"/>
    <mergeCell ref="L192:P193"/>
    <mergeCell ref="Q192:S193"/>
    <mergeCell ref="A190:A191"/>
    <mergeCell ref="B190:F191"/>
    <mergeCell ref="G190:H191"/>
    <mergeCell ref="I190:I191"/>
    <mergeCell ref="K190:K191"/>
    <mergeCell ref="L190:P191"/>
    <mergeCell ref="B194:F194"/>
    <mergeCell ref="G194:H196"/>
    <mergeCell ref="I194:I195"/>
    <mergeCell ref="L194:P194"/>
    <mergeCell ref="Q194:R196"/>
    <mergeCell ref="S194:S195"/>
    <mergeCell ref="B195:F195"/>
    <mergeCell ref="L195:P195"/>
    <mergeCell ref="B196:F196"/>
    <mergeCell ref="L196:P196"/>
    <mergeCell ref="B201:F201"/>
    <mergeCell ref="L201:P201"/>
    <mergeCell ref="B197:F197"/>
    <mergeCell ref="G197:H197"/>
    <mergeCell ref="L197:P197"/>
    <mergeCell ref="Q197:R197"/>
    <mergeCell ref="B198:F198"/>
    <mergeCell ref="G198:H198"/>
    <mergeCell ref="L198:P198"/>
    <mergeCell ref="Q198:R198"/>
    <mergeCell ref="B199:F199"/>
    <mergeCell ref="G199:H202"/>
    <mergeCell ref="I199:I201"/>
    <mergeCell ref="L199:P199"/>
    <mergeCell ref="B206:F206"/>
    <mergeCell ref="G206:H210"/>
    <mergeCell ref="I206:I210"/>
    <mergeCell ref="L206:P206"/>
    <mergeCell ref="Q199:R202"/>
    <mergeCell ref="B202:F202"/>
    <mergeCell ref="L202:P202"/>
    <mergeCell ref="Q206:R210"/>
    <mergeCell ref="S206:S210"/>
    <mergeCell ref="Q203:R204"/>
    <mergeCell ref="S203:S204"/>
    <mergeCell ref="B204:F204"/>
    <mergeCell ref="L204:P204"/>
    <mergeCell ref="B205:F205"/>
    <mergeCell ref="G205:H205"/>
    <mergeCell ref="L205:P205"/>
    <mergeCell ref="Q205:R205"/>
    <mergeCell ref="B203:F203"/>
    <mergeCell ref="G203:H204"/>
    <mergeCell ref="I203:I204"/>
    <mergeCell ref="L203:P203"/>
    <mergeCell ref="S199:S201"/>
    <mergeCell ref="B200:F200"/>
    <mergeCell ref="L200:P200"/>
    <mergeCell ref="A207:A210"/>
    <mergeCell ref="B207:F207"/>
    <mergeCell ref="K207:K210"/>
    <mergeCell ref="L207:P207"/>
    <mergeCell ref="B208:F208"/>
    <mergeCell ref="L208:P208"/>
    <mergeCell ref="B209:F209"/>
    <mergeCell ref="L209:P209"/>
    <mergeCell ref="B210:F210"/>
    <mergeCell ref="L210:P210"/>
    <mergeCell ref="S213:S214"/>
    <mergeCell ref="B214:F214"/>
    <mergeCell ref="L214:P214"/>
    <mergeCell ref="B211:F211"/>
    <mergeCell ref="G211:H211"/>
    <mergeCell ref="L211:P211"/>
    <mergeCell ref="Q211:R211"/>
    <mergeCell ref="B212:F212"/>
    <mergeCell ref="G212:H212"/>
    <mergeCell ref="L212:P212"/>
    <mergeCell ref="Q212:R212"/>
    <mergeCell ref="B215:F215"/>
    <mergeCell ref="G215:H215"/>
    <mergeCell ref="L215:P215"/>
    <mergeCell ref="Q215:R215"/>
    <mergeCell ref="B216:F216"/>
    <mergeCell ref="G216:H216"/>
    <mergeCell ref="L216:P216"/>
    <mergeCell ref="Q216:R216"/>
    <mergeCell ref="B213:F213"/>
    <mergeCell ref="G213:H214"/>
    <mergeCell ref="I213:I214"/>
    <mergeCell ref="L213:P213"/>
    <mergeCell ref="Q213:R214"/>
    <mergeCell ref="B219:F219"/>
    <mergeCell ref="G219:I219"/>
    <mergeCell ref="L219:P219"/>
    <mergeCell ref="Q219:S219"/>
    <mergeCell ref="B220:I220"/>
    <mergeCell ref="L220:S220"/>
    <mergeCell ref="B217:F217"/>
    <mergeCell ref="G217:I217"/>
    <mergeCell ref="L217:P217"/>
    <mergeCell ref="Q217:S217"/>
    <mergeCell ref="B218:F218"/>
    <mergeCell ref="G218:I218"/>
    <mergeCell ref="L218:P218"/>
    <mergeCell ref="Q218:S218"/>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S266"/>
  <sheetViews>
    <sheetView topLeftCell="A211" zoomScale="85" zoomScaleNormal="85" workbookViewId="0">
      <selection activeCell="B262" sqref="B262:I262"/>
    </sheetView>
  </sheetViews>
  <sheetFormatPr defaultRowHeight="15" x14ac:dyDescent="0.25"/>
  <cols>
    <col min="1" max="1" width="3.42578125" customWidth="1"/>
    <col min="6" max="6" width="14.5703125" customWidth="1"/>
    <col min="7" max="7" width="10" customWidth="1"/>
    <col min="8" max="8" width="11.140625" customWidth="1"/>
    <col min="9" max="9" width="47.7109375" customWidth="1"/>
    <col min="10" max="10" width="0.42578125" customWidth="1"/>
    <col min="11" max="11" width="4.42578125" customWidth="1"/>
    <col min="17" max="17" width="10.28515625" customWidth="1"/>
    <col min="19" max="19" width="37.140625" customWidth="1"/>
    <col min="257" max="257" width="3.42578125" customWidth="1"/>
    <col min="262" max="262" width="14.5703125" customWidth="1"/>
    <col min="263" max="263" width="10" customWidth="1"/>
    <col min="264" max="264" width="11.140625" customWidth="1"/>
    <col min="265" max="265" width="47.7109375" customWidth="1"/>
    <col min="266" max="266" width="0.42578125" customWidth="1"/>
    <col min="267" max="267" width="4.42578125" customWidth="1"/>
    <col min="273" max="273" width="10.28515625" customWidth="1"/>
    <col min="275" max="275" width="37.140625" customWidth="1"/>
    <col min="513" max="513" width="3.42578125" customWidth="1"/>
    <col min="518" max="518" width="14.5703125" customWidth="1"/>
    <col min="519" max="519" width="10" customWidth="1"/>
    <col min="520" max="520" width="11.140625" customWidth="1"/>
    <col min="521" max="521" width="47.7109375" customWidth="1"/>
    <col min="522" max="522" width="0.42578125" customWidth="1"/>
    <col min="523" max="523" width="4.42578125" customWidth="1"/>
    <col min="529" max="529" width="10.28515625" customWidth="1"/>
    <col min="531" max="531" width="37.140625" customWidth="1"/>
    <col min="769" max="769" width="3.42578125" customWidth="1"/>
    <col min="774" max="774" width="14.5703125" customWidth="1"/>
    <col min="775" max="775" width="10" customWidth="1"/>
    <col min="776" max="776" width="11.140625" customWidth="1"/>
    <col min="777" max="777" width="47.7109375" customWidth="1"/>
    <col min="778" max="778" width="0.42578125" customWidth="1"/>
    <col min="779" max="779" width="4.42578125" customWidth="1"/>
    <col min="785" max="785" width="10.28515625" customWidth="1"/>
    <col min="787" max="787" width="37.140625" customWidth="1"/>
    <col min="1025" max="1025" width="3.42578125" customWidth="1"/>
    <col min="1030" max="1030" width="14.5703125" customWidth="1"/>
    <col min="1031" max="1031" width="10" customWidth="1"/>
    <col min="1032" max="1032" width="11.140625" customWidth="1"/>
    <col min="1033" max="1033" width="47.7109375" customWidth="1"/>
    <col min="1034" max="1034" width="0.42578125" customWidth="1"/>
    <col min="1035" max="1035" width="4.42578125" customWidth="1"/>
    <col min="1041" max="1041" width="10.28515625" customWidth="1"/>
    <col min="1043" max="1043" width="37.140625" customWidth="1"/>
    <col min="1281" max="1281" width="3.42578125" customWidth="1"/>
    <col min="1286" max="1286" width="14.5703125" customWidth="1"/>
    <col min="1287" max="1287" width="10" customWidth="1"/>
    <col min="1288" max="1288" width="11.140625" customWidth="1"/>
    <col min="1289" max="1289" width="47.7109375" customWidth="1"/>
    <col min="1290" max="1290" width="0.42578125" customWidth="1"/>
    <col min="1291" max="1291" width="4.42578125" customWidth="1"/>
    <col min="1297" max="1297" width="10.28515625" customWidth="1"/>
    <col min="1299" max="1299" width="37.140625" customWidth="1"/>
    <col min="1537" max="1537" width="3.42578125" customWidth="1"/>
    <col min="1542" max="1542" width="14.5703125" customWidth="1"/>
    <col min="1543" max="1543" width="10" customWidth="1"/>
    <col min="1544" max="1544" width="11.140625" customWidth="1"/>
    <col min="1545" max="1545" width="47.7109375" customWidth="1"/>
    <col min="1546" max="1546" width="0.42578125" customWidth="1"/>
    <col min="1547" max="1547" width="4.42578125" customWidth="1"/>
    <col min="1553" max="1553" width="10.28515625" customWidth="1"/>
    <col min="1555" max="1555" width="37.140625" customWidth="1"/>
    <col min="1793" max="1793" width="3.42578125" customWidth="1"/>
    <col min="1798" max="1798" width="14.5703125" customWidth="1"/>
    <col min="1799" max="1799" width="10" customWidth="1"/>
    <col min="1800" max="1800" width="11.140625" customWidth="1"/>
    <col min="1801" max="1801" width="47.7109375" customWidth="1"/>
    <col min="1802" max="1802" width="0.42578125" customWidth="1"/>
    <col min="1803" max="1803" width="4.42578125" customWidth="1"/>
    <col min="1809" max="1809" width="10.28515625" customWidth="1"/>
    <col min="1811" max="1811" width="37.140625" customWidth="1"/>
    <col min="2049" max="2049" width="3.42578125" customWidth="1"/>
    <col min="2054" max="2054" width="14.5703125" customWidth="1"/>
    <col min="2055" max="2055" width="10" customWidth="1"/>
    <col min="2056" max="2056" width="11.140625" customWidth="1"/>
    <col min="2057" max="2057" width="47.7109375" customWidth="1"/>
    <col min="2058" max="2058" width="0.42578125" customWidth="1"/>
    <col min="2059" max="2059" width="4.42578125" customWidth="1"/>
    <col min="2065" max="2065" width="10.28515625" customWidth="1"/>
    <col min="2067" max="2067" width="37.140625" customWidth="1"/>
    <col min="2305" max="2305" width="3.42578125" customWidth="1"/>
    <col min="2310" max="2310" width="14.5703125" customWidth="1"/>
    <col min="2311" max="2311" width="10" customWidth="1"/>
    <col min="2312" max="2312" width="11.140625" customWidth="1"/>
    <col min="2313" max="2313" width="47.7109375" customWidth="1"/>
    <col min="2314" max="2314" width="0.42578125" customWidth="1"/>
    <col min="2315" max="2315" width="4.42578125" customWidth="1"/>
    <col min="2321" max="2321" width="10.28515625" customWidth="1"/>
    <col min="2323" max="2323" width="37.140625" customWidth="1"/>
    <col min="2561" max="2561" width="3.42578125" customWidth="1"/>
    <col min="2566" max="2566" width="14.5703125" customWidth="1"/>
    <col min="2567" max="2567" width="10" customWidth="1"/>
    <col min="2568" max="2568" width="11.140625" customWidth="1"/>
    <col min="2569" max="2569" width="47.7109375" customWidth="1"/>
    <col min="2570" max="2570" width="0.42578125" customWidth="1"/>
    <col min="2571" max="2571" width="4.42578125" customWidth="1"/>
    <col min="2577" max="2577" width="10.28515625" customWidth="1"/>
    <col min="2579" max="2579" width="37.140625" customWidth="1"/>
    <col min="2817" max="2817" width="3.42578125" customWidth="1"/>
    <col min="2822" max="2822" width="14.5703125" customWidth="1"/>
    <col min="2823" max="2823" width="10" customWidth="1"/>
    <col min="2824" max="2824" width="11.140625" customWidth="1"/>
    <col min="2825" max="2825" width="47.7109375" customWidth="1"/>
    <col min="2826" max="2826" width="0.42578125" customWidth="1"/>
    <col min="2827" max="2827" width="4.42578125" customWidth="1"/>
    <col min="2833" max="2833" width="10.28515625" customWidth="1"/>
    <col min="2835" max="2835" width="37.140625" customWidth="1"/>
    <col min="3073" max="3073" width="3.42578125" customWidth="1"/>
    <col min="3078" max="3078" width="14.5703125" customWidth="1"/>
    <col min="3079" max="3079" width="10" customWidth="1"/>
    <col min="3080" max="3080" width="11.140625" customWidth="1"/>
    <col min="3081" max="3081" width="47.7109375" customWidth="1"/>
    <col min="3082" max="3082" width="0.42578125" customWidth="1"/>
    <col min="3083" max="3083" width="4.42578125" customWidth="1"/>
    <col min="3089" max="3089" width="10.28515625" customWidth="1"/>
    <col min="3091" max="3091" width="37.140625" customWidth="1"/>
    <col min="3329" max="3329" width="3.42578125" customWidth="1"/>
    <col min="3334" max="3334" width="14.5703125" customWidth="1"/>
    <col min="3335" max="3335" width="10" customWidth="1"/>
    <col min="3336" max="3336" width="11.140625" customWidth="1"/>
    <col min="3337" max="3337" width="47.7109375" customWidth="1"/>
    <col min="3338" max="3338" width="0.42578125" customWidth="1"/>
    <col min="3339" max="3339" width="4.42578125" customWidth="1"/>
    <col min="3345" max="3345" width="10.28515625" customWidth="1"/>
    <col min="3347" max="3347" width="37.140625" customWidth="1"/>
    <col min="3585" max="3585" width="3.42578125" customWidth="1"/>
    <col min="3590" max="3590" width="14.5703125" customWidth="1"/>
    <col min="3591" max="3591" width="10" customWidth="1"/>
    <col min="3592" max="3592" width="11.140625" customWidth="1"/>
    <col min="3593" max="3593" width="47.7109375" customWidth="1"/>
    <col min="3594" max="3594" width="0.42578125" customWidth="1"/>
    <col min="3595" max="3595" width="4.42578125" customWidth="1"/>
    <col min="3601" max="3601" width="10.28515625" customWidth="1"/>
    <col min="3603" max="3603" width="37.140625" customWidth="1"/>
    <col min="3841" max="3841" width="3.42578125" customWidth="1"/>
    <col min="3846" max="3846" width="14.5703125" customWidth="1"/>
    <col min="3847" max="3847" width="10" customWidth="1"/>
    <col min="3848" max="3848" width="11.140625" customWidth="1"/>
    <col min="3849" max="3849" width="47.7109375" customWidth="1"/>
    <col min="3850" max="3850" width="0.42578125" customWidth="1"/>
    <col min="3851" max="3851" width="4.42578125" customWidth="1"/>
    <col min="3857" max="3857" width="10.28515625" customWidth="1"/>
    <col min="3859" max="3859" width="37.140625" customWidth="1"/>
    <col min="4097" max="4097" width="3.42578125" customWidth="1"/>
    <col min="4102" max="4102" width="14.5703125" customWidth="1"/>
    <col min="4103" max="4103" width="10" customWidth="1"/>
    <col min="4104" max="4104" width="11.140625" customWidth="1"/>
    <col min="4105" max="4105" width="47.7109375" customWidth="1"/>
    <col min="4106" max="4106" width="0.42578125" customWidth="1"/>
    <col min="4107" max="4107" width="4.42578125" customWidth="1"/>
    <col min="4113" max="4113" width="10.28515625" customWidth="1"/>
    <col min="4115" max="4115" width="37.140625" customWidth="1"/>
    <col min="4353" max="4353" width="3.42578125" customWidth="1"/>
    <col min="4358" max="4358" width="14.5703125" customWidth="1"/>
    <col min="4359" max="4359" width="10" customWidth="1"/>
    <col min="4360" max="4360" width="11.140625" customWidth="1"/>
    <col min="4361" max="4361" width="47.7109375" customWidth="1"/>
    <col min="4362" max="4362" width="0.42578125" customWidth="1"/>
    <col min="4363" max="4363" width="4.42578125" customWidth="1"/>
    <col min="4369" max="4369" width="10.28515625" customWidth="1"/>
    <col min="4371" max="4371" width="37.140625" customWidth="1"/>
    <col min="4609" max="4609" width="3.42578125" customWidth="1"/>
    <col min="4614" max="4614" width="14.5703125" customWidth="1"/>
    <col min="4615" max="4615" width="10" customWidth="1"/>
    <col min="4616" max="4616" width="11.140625" customWidth="1"/>
    <col min="4617" max="4617" width="47.7109375" customWidth="1"/>
    <col min="4618" max="4618" width="0.42578125" customWidth="1"/>
    <col min="4619" max="4619" width="4.42578125" customWidth="1"/>
    <col min="4625" max="4625" width="10.28515625" customWidth="1"/>
    <col min="4627" max="4627" width="37.140625" customWidth="1"/>
    <col min="4865" max="4865" width="3.42578125" customWidth="1"/>
    <col min="4870" max="4870" width="14.5703125" customWidth="1"/>
    <col min="4871" max="4871" width="10" customWidth="1"/>
    <col min="4872" max="4872" width="11.140625" customWidth="1"/>
    <col min="4873" max="4873" width="47.7109375" customWidth="1"/>
    <col min="4874" max="4874" width="0.42578125" customWidth="1"/>
    <col min="4875" max="4875" width="4.42578125" customWidth="1"/>
    <col min="4881" max="4881" width="10.28515625" customWidth="1"/>
    <col min="4883" max="4883" width="37.140625" customWidth="1"/>
    <col min="5121" max="5121" width="3.42578125" customWidth="1"/>
    <col min="5126" max="5126" width="14.5703125" customWidth="1"/>
    <col min="5127" max="5127" width="10" customWidth="1"/>
    <col min="5128" max="5128" width="11.140625" customWidth="1"/>
    <col min="5129" max="5129" width="47.7109375" customWidth="1"/>
    <col min="5130" max="5130" width="0.42578125" customWidth="1"/>
    <col min="5131" max="5131" width="4.42578125" customWidth="1"/>
    <col min="5137" max="5137" width="10.28515625" customWidth="1"/>
    <col min="5139" max="5139" width="37.140625" customWidth="1"/>
    <col min="5377" max="5377" width="3.42578125" customWidth="1"/>
    <col min="5382" max="5382" width="14.5703125" customWidth="1"/>
    <col min="5383" max="5383" width="10" customWidth="1"/>
    <col min="5384" max="5384" width="11.140625" customWidth="1"/>
    <col min="5385" max="5385" width="47.7109375" customWidth="1"/>
    <col min="5386" max="5386" width="0.42578125" customWidth="1"/>
    <col min="5387" max="5387" width="4.42578125" customWidth="1"/>
    <col min="5393" max="5393" width="10.28515625" customWidth="1"/>
    <col min="5395" max="5395" width="37.140625" customWidth="1"/>
    <col min="5633" max="5633" width="3.42578125" customWidth="1"/>
    <col min="5638" max="5638" width="14.5703125" customWidth="1"/>
    <col min="5639" max="5639" width="10" customWidth="1"/>
    <col min="5640" max="5640" width="11.140625" customWidth="1"/>
    <col min="5641" max="5641" width="47.7109375" customWidth="1"/>
    <col min="5642" max="5642" width="0.42578125" customWidth="1"/>
    <col min="5643" max="5643" width="4.42578125" customWidth="1"/>
    <col min="5649" max="5649" width="10.28515625" customWidth="1"/>
    <col min="5651" max="5651" width="37.140625" customWidth="1"/>
    <col min="5889" max="5889" width="3.42578125" customWidth="1"/>
    <col min="5894" max="5894" width="14.5703125" customWidth="1"/>
    <col min="5895" max="5895" width="10" customWidth="1"/>
    <col min="5896" max="5896" width="11.140625" customWidth="1"/>
    <col min="5897" max="5897" width="47.7109375" customWidth="1"/>
    <col min="5898" max="5898" width="0.42578125" customWidth="1"/>
    <col min="5899" max="5899" width="4.42578125" customWidth="1"/>
    <col min="5905" max="5905" width="10.28515625" customWidth="1"/>
    <col min="5907" max="5907" width="37.140625" customWidth="1"/>
    <col min="6145" max="6145" width="3.42578125" customWidth="1"/>
    <col min="6150" max="6150" width="14.5703125" customWidth="1"/>
    <col min="6151" max="6151" width="10" customWidth="1"/>
    <col min="6152" max="6152" width="11.140625" customWidth="1"/>
    <col min="6153" max="6153" width="47.7109375" customWidth="1"/>
    <col min="6154" max="6154" width="0.42578125" customWidth="1"/>
    <col min="6155" max="6155" width="4.42578125" customWidth="1"/>
    <col min="6161" max="6161" width="10.28515625" customWidth="1"/>
    <col min="6163" max="6163" width="37.140625" customWidth="1"/>
    <col min="6401" max="6401" width="3.42578125" customWidth="1"/>
    <col min="6406" max="6406" width="14.5703125" customWidth="1"/>
    <col min="6407" max="6407" width="10" customWidth="1"/>
    <col min="6408" max="6408" width="11.140625" customWidth="1"/>
    <col min="6409" max="6409" width="47.7109375" customWidth="1"/>
    <col min="6410" max="6410" width="0.42578125" customWidth="1"/>
    <col min="6411" max="6411" width="4.42578125" customWidth="1"/>
    <col min="6417" max="6417" width="10.28515625" customWidth="1"/>
    <col min="6419" max="6419" width="37.140625" customWidth="1"/>
    <col min="6657" max="6657" width="3.42578125" customWidth="1"/>
    <col min="6662" max="6662" width="14.5703125" customWidth="1"/>
    <col min="6663" max="6663" width="10" customWidth="1"/>
    <col min="6664" max="6664" width="11.140625" customWidth="1"/>
    <col min="6665" max="6665" width="47.7109375" customWidth="1"/>
    <col min="6666" max="6666" width="0.42578125" customWidth="1"/>
    <col min="6667" max="6667" width="4.42578125" customWidth="1"/>
    <col min="6673" max="6673" width="10.28515625" customWidth="1"/>
    <col min="6675" max="6675" width="37.140625" customWidth="1"/>
    <col min="6913" max="6913" width="3.42578125" customWidth="1"/>
    <col min="6918" max="6918" width="14.5703125" customWidth="1"/>
    <col min="6919" max="6919" width="10" customWidth="1"/>
    <col min="6920" max="6920" width="11.140625" customWidth="1"/>
    <col min="6921" max="6921" width="47.7109375" customWidth="1"/>
    <col min="6922" max="6922" width="0.42578125" customWidth="1"/>
    <col min="6923" max="6923" width="4.42578125" customWidth="1"/>
    <col min="6929" max="6929" width="10.28515625" customWidth="1"/>
    <col min="6931" max="6931" width="37.140625" customWidth="1"/>
    <col min="7169" max="7169" width="3.42578125" customWidth="1"/>
    <col min="7174" max="7174" width="14.5703125" customWidth="1"/>
    <col min="7175" max="7175" width="10" customWidth="1"/>
    <col min="7176" max="7176" width="11.140625" customWidth="1"/>
    <col min="7177" max="7177" width="47.7109375" customWidth="1"/>
    <col min="7178" max="7178" width="0.42578125" customWidth="1"/>
    <col min="7179" max="7179" width="4.42578125" customWidth="1"/>
    <col min="7185" max="7185" width="10.28515625" customWidth="1"/>
    <col min="7187" max="7187" width="37.140625" customWidth="1"/>
    <col min="7425" max="7425" width="3.42578125" customWidth="1"/>
    <col min="7430" max="7430" width="14.5703125" customWidth="1"/>
    <col min="7431" max="7431" width="10" customWidth="1"/>
    <col min="7432" max="7432" width="11.140625" customWidth="1"/>
    <col min="7433" max="7433" width="47.7109375" customWidth="1"/>
    <col min="7434" max="7434" width="0.42578125" customWidth="1"/>
    <col min="7435" max="7435" width="4.42578125" customWidth="1"/>
    <col min="7441" max="7441" width="10.28515625" customWidth="1"/>
    <col min="7443" max="7443" width="37.140625" customWidth="1"/>
    <col min="7681" max="7681" width="3.42578125" customWidth="1"/>
    <col min="7686" max="7686" width="14.5703125" customWidth="1"/>
    <col min="7687" max="7687" width="10" customWidth="1"/>
    <col min="7688" max="7688" width="11.140625" customWidth="1"/>
    <col min="7689" max="7689" width="47.7109375" customWidth="1"/>
    <col min="7690" max="7690" width="0.42578125" customWidth="1"/>
    <col min="7691" max="7691" width="4.42578125" customWidth="1"/>
    <col min="7697" max="7697" width="10.28515625" customWidth="1"/>
    <col min="7699" max="7699" width="37.140625" customWidth="1"/>
    <col min="7937" max="7937" width="3.42578125" customWidth="1"/>
    <col min="7942" max="7942" width="14.5703125" customWidth="1"/>
    <col min="7943" max="7943" width="10" customWidth="1"/>
    <col min="7944" max="7944" width="11.140625" customWidth="1"/>
    <col min="7945" max="7945" width="47.7109375" customWidth="1"/>
    <col min="7946" max="7946" width="0.42578125" customWidth="1"/>
    <col min="7947" max="7947" width="4.42578125" customWidth="1"/>
    <col min="7953" max="7953" width="10.28515625" customWidth="1"/>
    <col min="7955" max="7955" width="37.140625" customWidth="1"/>
    <col min="8193" max="8193" width="3.42578125" customWidth="1"/>
    <col min="8198" max="8198" width="14.5703125" customWidth="1"/>
    <col min="8199" max="8199" width="10" customWidth="1"/>
    <col min="8200" max="8200" width="11.140625" customWidth="1"/>
    <col min="8201" max="8201" width="47.7109375" customWidth="1"/>
    <col min="8202" max="8202" width="0.42578125" customWidth="1"/>
    <col min="8203" max="8203" width="4.42578125" customWidth="1"/>
    <col min="8209" max="8209" width="10.28515625" customWidth="1"/>
    <col min="8211" max="8211" width="37.140625" customWidth="1"/>
    <col min="8449" max="8449" width="3.42578125" customWidth="1"/>
    <col min="8454" max="8454" width="14.5703125" customWidth="1"/>
    <col min="8455" max="8455" width="10" customWidth="1"/>
    <col min="8456" max="8456" width="11.140625" customWidth="1"/>
    <col min="8457" max="8457" width="47.7109375" customWidth="1"/>
    <col min="8458" max="8458" width="0.42578125" customWidth="1"/>
    <col min="8459" max="8459" width="4.42578125" customWidth="1"/>
    <col min="8465" max="8465" width="10.28515625" customWidth="1"/>
    <col min="8467" max="8467" width="37.140625" customWidth="1"/>
    <col min="8705" max="8705" width="3.42578125" customWidth="1"/>
    <col min="8710" max="8710" width="14.5703125" customWidth="1"/>
    <col min="8711" max="8711" width="10" customWidth="1"/>
    <col min="8712" max="8712" width="11.140625" customWidth="1"/>
    <col min="8713" max="8713" width="47.7109375" customWidth="1"/>
    <col min="8714" max="8714" width="0.42578125" customWidth="1"/>
    <col min="8715" max="8715" width="4.42578125" customWidth="1"/>
    <col min="8721" max="8721" width="10.28515625" customWidth="1"/>
    <col min="8723" max="8723" width="37.140625" customWidth="1"/>
    <col min="8961" max="8961" width="3.42578125" customWidth="1"/>
    <col min="8966" max="8966" width="14.5703125" customWidth="1"/>
    <col min="8967" max="8967" width="10" customWidth="1"/>
    <col min="8968" max="8968" width="11.140625" customWidth="1"/>
    <col min="8969" max="8969" width="47.7109375" customWidth="1"/>
    <col min="8970" max="8970" width="0.42578125" customWidth="1"/>
    <col min="8971" max="8971" width="4.42578125" customWidth="1"/>
    <col min="8977" max="8977" width="10.28515625" customWidth="1"/>
    <col min="8979" max="8979" width="37.140625" customWidth="1"/>
    <col min="9217" max="9217" width="3.42578125" customWidth="1"/>
    <col min="9222" max="9222" width="14.5703125" customWidth="1"/>
    <col min="9223" max="9223" width="10" customWidth="1"/>
    <col min="9224" max="9224" width="11.140625" customWidth="1"/>
    <col min="9225" max="9225" width="47.7109375" customWidth="1"/>
    <col min="9226" max="9226" width="0.42578125" customWidth="1"/>
    <col min="9227" max="9227" width="4.42578125" customWidth="1"/>
    <col min="9233" max="9233" width="10.28515625" customWidth="1"/>
    <col min="9235" max="9235" width="37.140625" customWidth="1"/>
    <col min="9473" max="9473" width="3.42578125" customWidth="1"/>
    <col min="9478" max="9478" width="14.5703125" customWidth="1"/>
    <col min="9479" max="9479" width="10" customWidth="1"/>
    <col min="9480" max="9480" width="11.140625" customWidth="1"/>
    <col min="9481" max="9481" width="47.7109375" customWidth="1"/>
    <col min="9482" max="9482" width="0.42578125" customWidth="1"/>
    <col min="9483" max="9483" width="4.42578125" customWidth="1"/>
    <col min="9489" max="9489" width="10.28515625" customWidth="1"/>
    <col min="9491" max="9491" width="37.140625" customWidth="1"/>
    <col min="9729" max="9729" width="3.42578125" customWidth="1"/>
    <col min="9734" max="9734" width="14.5703125" customWidth="1"/>
    <col min="9735" max="9735" width="10" customWidth="1"/>
    <col min="9736" max="9736" width="11.140625" customWidth="1"/>
    <col min="9737" max="9737" width="47.7109375" customWidth="1"/>
    <col min="9738" max="9738" width="0.42578125" customWidth="1"/>
    <col min="9739" max="9739" width="4.42578125" customWidth="1"/>
    <col min="9745" max="9745" width="10.28515625" customWidth="1"/>
    <col min="9747" max="9747" width="37.140625" customWidth="1"/>
    <col min="9985" max="9985" width="3.42578125" customWidth="1"/>
    <col min="9990" max="9990" width="14.5703125" customWidth="1"/>
    <col min="9991" max="9991" width="10" customWidth="1"/>
    <col min="9992" max="9992" width="11.140625" customWidth="1"/>
    <col min="9993" max="9993" width="47.7109375" customWidth="1"/>
    <col min="9994" max="9994" width="0.42578125" customWidth="1"/>
    <col min="9995" max="9995" width="4.42578125" customWidth="1"/>
    <col min="10001" max="10001" width="10.28515625" customWidth="1"/>
    <col min="10003" max="10003" width="37.140625" customWidth="1"/>
    <col min="10241" max="10241" width="3.42578125" customWidth="1"/>
    <col min="10246" max="10246" width="14.5703125" customWidth="1"/>
    <col min="10247" max="10247" width="10" customWidth="1"/>
    <col min="10248" max="10248" width="11.140625" customWidth="1"/>
    <col min="10249" max="10249" width="47.7109375" customWidth="1"/>
    <col min="10250" max="10250" width="0.42578125" customWidth="1"/>
    <col min="10251" max="10251" width="4.42578125" customWidth="1"/>
    <col min="10257" max="10257" width="10.28515625" customWidth="1"/>
    <col min="10259" max="10259" width="37.140625" customWidth="1"/>
    <col min="10497" max="10497" width="3.42578125" customWidth="1"/>
    <col min="10502" max="10502" width="14.5703125" customWidth="1"/>
    <col min="10503" max="10503" width="10" customWidth="1"/>
    <col min="10504" max="10504" width="11.140625" customWidth="1"/>
    <col min="10505" max="10505" width="47.7109375" customWidth="1"/>
    <col min="10506" max="10506" width="0.42578125" customWidth="1"/>
    <col min="10507" max="10507" width="4.42578125" customWidth="1"/>
    <col min="10513" max="10513" width="10.28515625" customWidth="1"/>
    <col min="10515" max="10515" width="37.140625" customWidth="1"/>
    <col min="10753" max="10753" width="3.42578125" customWidth="1"/>
    <col min="10758" max="10758" width="14.5703125" customWidth="1"/>
    <col min="10759" max="10759" width="10" customWidth="1"/>
    <col min="10760" max="10760" width="11.140625" customWidth="1"/>
    <col min="10761" max="10761" width="47.7109375" customWidth="1"/>
    <col min="10762" max="10762" width="0.42578125" customWidth="1"/>
    <col min="10763" max="10763" width="4.42578125" customWidth="1"/>
    <col min="10769" max="10769" width="10.28515625" customWidth="1"/>
    <col min="10771" max="10771" width="37.140625" customWidth="1"/>
    <col min="11009" max="11009" width="3.42578125" customWidth="1"/>
    <col min="11014" max="11014" width="14.5703125" customWidth="1"/>
    <col min="11015" max="11015" width="10" customWidth="1"/>
    <col min="11016" max="11016" width="11.140625" customWidth="1"/>
    <col min="11017" max="11017" width="47.7109375" customWidth="1"/>
    <col min="11018" max="11018" width="0.42578125" customWidth="1"/>
    <col min="11019" max="11019" width="4.42578125" customWidth="1"/>
    <col min="11025" max="11025" width="10.28515625" customWidth="1"/>
    <col min="11027" max="11027" width="37.140625" customWidth="1"/>
    <col min="11265" max="11265" width="3.42578125" customWidth="1"/>
    <col min="11270" max="11270" width="14.5703125" customWidth="1"/>
    <col min="11271" max="11271" width="10" customWidth="1"/>
    <col min="11272" max="11272" width="11.140625" customWidth="1"/>
    <col min="11273" max="11273" width="47.7109375" customWidth="1"/>
    <col min="11274" max="11274" width="0.42578125" customWidth="1"/>
    <col min="11275" max="11275" width="4.42578125" customWidth="1"/>
    <col min="11281" max="11281" width="10.28515625" customWidth="1"/>
    <col min="11283" max="11283" width="37.140625" customWidth="1"/>
    <col min="11521" max="11521" width="3.42578125" customWidth="1"/>
    <col min="11526" max="11526" width="14.5703125" customWidth="1"/>
    <col min="11527" max="11527" width="10" customWidth="1"/>
    <col min="11528" max="11528" width="11.140625" customWidth="1"/>
    <col min="11529" max="11529" width="47.7109375" customWidth="1"/>
    <col min="11530" max="11530" width="0.42578125" customWidth="1"/>
    <col min="11531" max="11531" width="4.42578125" customWidth="1"/>
    <col min="11537" max="11537" width="10.28515625" customWidth="1"/>
    <col min="11539" max="11539" width="37.140625" customWidth="1"/>
    <col min="11777" max="11777" width="3.42578125" customWidth="1"/>
    <col min="11782" max="11782" width="14.5703125" customWidth="1"/>
    <col min="11783" max="11783" width="10" customWidth="1"/>
    <col min="11784" max="11784" width="11.140625" customWidth="1"/>
    <col min="11785" max="11785" width="47.7109375" customWidth="1"/>
    <col min="11786" max="11786" width="0.42578125" customWidth="1"/>
    <col min="11787" max="11787" width="4.42578125" customWidth="1"/>
    <col min="11793" max="11793" width="10.28515625" customWidth="1"/>
    <col min="11795" max="11795" width="37.140625" customWidth="1"/>
    <col min="12033" max="12033" width="3.42578125" customWidth="1"/>
    <col min="12038" max="12038" width="14.5703125" customWidth="1"/>
    <col min="12039" max="12039" width="10" customWidth="1"/>
    <col min="12040" max="12040" width="11.140625" customWidth="1"/>
    <col min="12041" max="12041" width="47.7109375" customWidth="1"/>
    <col min="12042" max="12042" width="0.42578125" customWidth="1"/>
    <col min="12043" max="12043" width="4.42578125" customWidth="1"/>
    <col min="12049" max="12049" width="10.28515625" customWidth="1"/>
    <col min="12051" max="12051" width="37.140625" customWidth="1"/>
    <col min="12289" max="12289" width="3.42578125" customWidth="1"/>
    <col min="12294" max="12294" width="14.5703125" customWidth="1"/>
    <col min="12295" max="12295" width="10" customWidth="1"/>
    <col min="12296" max="12296" width="11.140625" customWidth="1"/>
    <col min="12297" max="12297" width="47.7109375" customWidth="1"/>
    <col min="12298" max="12298" width="0.42578125" customWidth="1"/>
    <col min="12299" max="12299" width="4.42578125" customWidth="1"/>
    <col min="12305" max="12305" width="10.28515625" customWidth="1"/>
    <col min="12307" max="12307" width="37.140625" customWidth="1"/>
    <col min="12545" max="12545" width="3.42578125" customWidth="1"/>
    <col min="12550" max="12550" width="14.5703125" customWidth="1"/>
    <col min="12551" max="12551" width="10" customWidth="1"/>
    <col min="12552" max="12552" width="11.140625" customWidth="1"/>
    <col min="12553" max="12553" width="47.7109375" customWidth="1"/>
    <col min="12554" max="12554" width="0.42578125" customWidth="1"/>
    <col min="12555" max="12555" width="4.42578125" customWidth="1"/>
    <col min="12561" max="12561" width="10.28515625" customWidth="1"/>
    <col min="12563" max="12563" width="37.140625" customWidth="1"/>
    <col min="12801" max="12801" width="3.42578125" customWidth="1"/>
    <col min="12806" max="12806" width="14.5703125" customWidth="1"/>
    <col min="12807" max="12807" width="10" customWidth="1"/>
    <col min="12808" max="12808" width="11.140625" customWidth="1"/>
    <col min="12809" max="12809" width="47.7109375" customWidth="1"/>
    <col min="12810" max="12810" width="0.42578125" customWidth="1"/>
    <col min="12811" max="12811" width="4.42578125" customWidth="1"/>
    <col min="12817" max="12817" width="10.28515625" customWidth="1"/>
    <col min="12819" max="12819" width="37.140625" customWidth="1"/>
    <col min="13057" max="13057" width="3.42578125" customWidth="1"/>
    <col min="13062" max="13062" width="14.5703125" customWidth="1"/>
    <col min="13063" max="13063" width="10" customWidth="1"/>
    <col min="13064" max="13064" width="11.140625" customWidth="1"/>
    <col min="13065" max="13065" width="47.7109375" customWidth="1"/>
    <col min="13066" max="13066" width="0.42578125" customWidth="1"/>
    <col min="13067" max="13067" width="4.42578125" customWidth="1"/>
    <col min="13073" max="13073" width="10.28515625" customWidth="1"/>
    <col min="13075" max="13075" width="37.140625" customWidth="1"/>
    <col min="13313" max="13313" width="3.42578125" customWidth="1"/>
    <col min="13318" max="13318" width="14.5703125" customWidth="1"/>
    <col min="13319" max="13319" width="10" customWidth="1"/>
    <col min="13320" max="13320" width="11.140625" customWidth="1"/>
    <col min="13321" max="13321" width="47.7109375" customWidth="1"/>
    <col min="13322" max="13322" width="0.42578125" customWidth="1"/>
    <col min="13323" max="13323" width="4.42578125" customWidth="1"/>
    <col min="13329" max="13329" width="10.28515625" customWidth="1"/>
    <col min="13331" max="13331" width="37.140625" customWidth="1"/>
    <col min="13569" max="13569" width="3.42578125" customWidth="1"/>
    <col min="13574" max="13574" width="14.5703125" customWidth="1"/>
    <col min="13575" max="13575" width="10" customWidth="1"/>
    <col min="13576" max="13576" width="11.140625" customWidth="1"/>
    <col min="13577" max="13577" width="47.7109375" customWidth="1"/>
    <col min="13578" max="13578" width="0.42578125" customWidth="1"/>
    <col min="13579" max="13579" width="4.42578125" customWidth="1"/>
    <col min="13585" max="13585" width="10.28515625" customWidth="1"/>
    <col min="13587" max="13587" width="37.140625" customWidth="1"/>
    <col min="13825" max="13825" width="3.42578125" customWidth="1"/>
    <col min="13830" max="13830" width="14.5703125" customWidth="1"/>
    <col min="13831" max="13831" width="10" customWidth="1"/>
    <col min="13832" max="13832" width="11.140625" customWidth="1"/>
    <col min="13833" max="13833" width="47.7109375" customWidth="1"/>
    <col min="13834" max="13834" width="0.42578125" customWidth="1"/>
    <col min="13835" max="13835" width="4.42578125" customWidth="1"/>
    <col min="13841" max="13841" width="10.28515625" customWidth="1"/>
    <col min="13843" max="13843" width="37.140625" customWidth="1"/>
    <col min="14081" max="14081" width="3.42578125" customWidth="1"/>
    <col min="14086" max="14086" width="14.5703125" customWidth="1"/>
    <col min="14087" max="14087" width="10" customWidth="1"/>
    <col min="14088" max="14088" width="11.140625" customWidth="1"/>
    <col min="14089" max="14089" width="47.7109375" customWidth="1"/>
    <col min="14090" max="14090" width="0.42578125" customWidth="1"/>
    <col min="14091" max="14091" width="4.42578125" customWidth="1"/>
    <col min="14097" max="14097" width="10.28515625" customWidth="1"/>
    <col min="14099" max="14099" width="37.140625" customWidth="1"/>
    <col min="14337" max="14337" width="3.42578125" customWidth="1"/>
    <col min="14342" max="14342" width="14.5703125" customWidth="1"/>
    <col min="14343" max="14343" width="10" customWidth="1"/>
    <col min="14344" max="14344" width="11.140625" customWidth="1"/>
    <col min="14345" max="14345" width="47.7109375" customWidth="1"/>
    <col min="14346" max="14346" width="0.42578125" customWidth="1"/>
    <col min="14347" max="14347" width="4.42578125" customWidth="1"/>
    <col min="14353" max="14353" width="10.28515625" customWidth="1"/>
    <col min="14355" max="14355" width="37.140625" customWidth="1"/>
    <col min="14593" max="14593" width="3.42578125" customWidth="1"/>
    <col min="14598" max="14598" width="14.5703125" customWidth="1"/>
    <col min="14599" max="14599" width="10" customWidth="1"/>
    <col min="14600" max="14600" width="11.140625" customWidth="1"/>
    <col min="14601" max="14601" width="47.7109375" customWidth="1"/>
    <col min="14602" max="14602" width="0.42578125" customWidth="1"/>
    <col min="14603" max="14603" width="4.42578125" customWidth="1"/>
    <col min="14609" max="14609" width="10.28515625" customWidth="1"/>
    <col min="14611" max="14611" width="37.140625" customWidth="1"/>
    <col min="14849" max="14849" width="3.42578125" customWidth="1"/>
    <col min="14854" max="14854" width="14.5703125" customWidth="1"/>
    <col min="14855" max="14855" width="10" customWidth="1"/>
    <col min="14856" max="14856" width="11.140625" customWidth="1"/>
    <col min="14857" max="14857" width="47.7109375" customWidth="1"/>
    <col min="14858" max="14858" width="0.42578125" customWidth="1"/>
    <col min="14859" max="14859" width="4.42578125" customWidth="1"/>
    <col min="14865" max="14865" width="10.28515625" customWidth="1"/>
    <col min="14867" max="14867" width="37.140625" customWidth="1"/>
    <col min="15105" max="15105" width="3.42578125" customWidth="1"/>
    <col min="15110" max="15110" width="14.5703125" customWidth="1"/>
    <col min="15111" max="15111" width="10" customWidth="1"/>
    <col min="15112" max="15112" width="11.140625" customWidth="1"/>
    <col min="15113" max="15113" width="47.7109375" customWidth="1"/>
    <col min="15114" max="15114" width="0.42578125" customWidth="1"/>
    <col min="15115" max="15115" width="4.42578125" customWidth="1"/>
    <col min="15121" max="15121" width="10.28515625" customWidth="1"/>
    <col min="15123" max="15123" width="37.140625" customWidth="1"/>
    <col min="15361" max="15361" width="3.42578125" customWidth="1"/>
    <col min="15366" max="15366" width="14.5703125" customWidth="1"/>
    <col min="15367" max="15367" width="10" customWidth="1"/>
    <col min="15368" max="15368" width="11.140625" customWidth="1"/>
    <col min="15369" max="15369" width="47.7109375" customWidth="1"/>
    <col min="15370" max="15370" width="0.42578125" customWidth="1"/>
    <col min="15371" max="15371" width="4.42578125" customWidth="1"/>
    <col min="15377" max="15377" width="10.28515625" customWidth="1"/>
    <col min="15379" max="15379" width="37.140625" customWidth="1"/>
    <col min="15617" max="15617" width="3.42578125" customWidth="1"/>
    <col min="15622" max="15622" width="14.5703125" customWidth="1"/>
    <col min="15623" max="15623" width="10" customWidth="1"/>
    <col min="15624" max="15624" width="11.140625" customWidth="1"/>
    <col min="15625" max="15625" width="47.7109375" customWidth="1"/>
    <col min="15626" max="15626" width="0.42578125" customWidth="1"/>
    <col min="15627" max="15627" width="4.42578125" customWidth="1"/>
    <col min="15633" max="15633" width="10.28515625" customWidth="1"/>
    <col min="15635" max="15635" width="37.140625" customWidth="1"/>
    <col min="15873" max="15873" width="3.42578125" customWidth="1"/>
    <col min="15878" max="15878" width="14.5703125" customWidth="1"/>
    <col min="15879" max="15879" width="10" customWidth="1"/>
    <col min="15880" max="15880" width="11.140625" customWidth="1"/>
    <col min="15881" max="15881" width="47.7109375" customWidth="1"/>
    <col min="15882" max="15882" width="0.42578125" customWidth="1"/>
    <col min="15883" max="15883" width="4.42578125" customWidth="1"/>
    <col min="15889" max="15889" width="10.28515625" customWidth="1"/>
    <col min="15891" max="15891" width="37.140625" customWidth="1"/>
    <col min="16129" max="16129" width="3.42578125" customWidth="1"/>
    <col min="16134" max="16134" width="14.5703125" customWidth="1"/>
    <col min="16135" max="16135" width="10" customWidth="1"/>
    <col min="16136" max="16136" width="11.140625" customWidth="1"/>
    <col min="16137" max="16137" width="47.7109375" customWidth="1"/>
    <col min="16138" max="16138" width="0.42578125" customWidth="1"/>
    <col min="16139" max="16139" width="4.42578125" customWidth="1"/>
    <col min="16145" max="16145" width="10.28515625" customWidth="1"/>
    <col min="16147" max="16147" width="37.14062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273</v>
      </c>
      <c r="E2" s="3"/>
      <c r="F2" s="3"/>
      <c r="G2" s="3"/>
      <c r="H2" s="3"/>
      <c r="I2" s="3"/>
      <c r="K2" s="3" t="s">
        <v>205</v>
      </c>
      <c r="L2" s="3"/>
      <c r="M2" s="3"/>
      <c r="N2" s="3" t="s">
        <v>274</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579.70000000000005</v>
      </c>
      <c r="G4" s="3" t="s">
        <v>207</v>
      </c>
      <c r="H4" s="3"/>
      <c r="I4" s="3"/>
      <c r="J4" s="3"/>
      <c r="K4" s="3"/>
      <c r="L4" s="5" t="s">
        <v>206</v>
      </c>
      <c r="M4" s="3"/>
      <c r="N4" s="3"/>
      <c r="O4" s="3"/>
      <c r="P4" s="3">
        <v>449.5</v>
      </c>
      <c r="Q4" s="3" t="s">
        <v>207</v>
      </c>
      <c r="R4" s="3"/>
      <c r="S4" s="3"/>
    </row>
    <row r="5" spans="1:19" ht="15" customHeight="1" x14ac:dyDescent="0.25">
      <c r="A5" s="175" t="s">
        <v>209</v>
      </c>
      <c r="B5" s="177" t="s">
        <v>210</v>
      </c>
      <c r="C5" s="178"/>
      <c r="D5" s="178"/>
      <c r="E5" s="178"/>
      <c r="F5" s="178"/>
      <c r="G5" s="180" t="s">
        <v>441</v>
      </c>
      <c r="H5" s="181"/>
      <c r="I5" s="175" t="s">
        <v>212</v>
      </c>
      <c r="J5" s="31"/>
      <c r="K5" s="175" t="s">
        <v>209</v>
      </c>
      <c r="L5" s="177" t="s">
        <v>210</v>
      </c>
      <c r="M5" s="178"/>
      <c r="N5" s="178"/>
      <c r="O5" s="178"/>
      <c r="P5" s="178"/>
      <c r="Q5" s="180" t="s">
        <v>441</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822.09</v>
      </c>
      <c r="H7" s="191"/>
      <c r="I7" s="192"/>
      <c r="J7" s="33"/>
      <c r="K7" s="185" t="s">
        <v>213</v>
      </c>
      <c r="L7" s="187" t="s">
        <v>354</v>
      </c>
      <c r="M7" s="188"/>
      <c r="N7" s="188"/>
      <c r="O7" s="188"/>
      <c r="P7" s="188"/>
      <c r="Q7" s="190">
        <v>-4.6399999999999997</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1.3*12*F4</f>
        <v>9043.3200000000015</v>
      </c>
      <c r="H9" s="164"/>
      <c r="I9" s="169" t="s">
        <v>215</v>
      </c>
      <c r="J9" s="35"/>
      <c r="K9" s="6"/>
      <c r="L9" s="161" t="s">
        <v>214</v>
      </c>
      <c r="M9" s="162"/>
      <c r="N9" s="162"/>
      <c r="O9" s="162"/>
      <c r="P9" s="162"/>
      <c r="Q9" s="163">
        <f>1.29*12*P4</f>
        <v>6958.26</v>
      </c>
      <c r="R9" s="164"/>
      <c r="S9" s="169" t="s">
        <v>215</v>
      </c>
    </row>
    <row r="10" spans="1:19" ht="32.2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9.5"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19.5" customHeight="1" thickBot="1" x14ac:dyDescent="0.3">
      <c r="A13" s="7"/>
      <c r="B13" s="141" t="s">
        <v>221</v>
      </c>
      <c r="C13" s="142"/>
      <c r="D13" s="142"/>
      <c r="E13" s="142"/>
      <c r="F13" s="142"/>
      <c r="G13" s="143">
        <f>0.3*12*F4</f>
        <v>2086.92</v>
      </c>
      <c r="H13" s="144"/>
      <c r="I13" s="8" t="s">
        <v>222</v>
      </c>
      <c r="J13" s="38"/>
      <c r="K13" s="7"/>
      <c r="L13" s="141" t="s">
        <v>221</v>
      </c>
      <c r="M13" s="142"/>
      <c r="N13" s="142"/>
      <c r="O13" s="142"/>
      <c r="P13" s="142"/>
      <c r="Q13" s="143">
        <f>0.2*12*P4</f>
        <v>1078.8000000000002</v>
      </c>
      <c r="R13" s="144"/>
      <c r="S13" s="8" t="s">
        <v>222</v>
      </c>
    </row>
    <row r="14" spans="1:19" ht="13.5" customHeight="1" x14ac:dyDescent="0.25">
      <c r="A14" s="9"/>
      <c r="B14" s="145" t="s">
        <v>223</v>
      </c>
      <c r="C14" s="146"/>
      <c r="D14" s="146"/>
      <c r="E14" s="146"/>
      <c r="F14" s="146"/>
      <c r="G14" s="86">
        <f>0.9*12*F4</f>
        <v>6260.7600000000011</v>
      </c>
      <c r="H14" s="147"/>
      <c r="I14" s="152" t="s">
        <v>224</v>
      </c>
      <c r="J14" s="38"/>
      <c r="K14" s="9"/>
      <c r="L14" s="145" t="s">
        <v>223</v>
      </c>
      <c r="M14" s="146"/>
      <c r="N14" s="146"/>
      <c r="O14" s="146"/>
      <c r="P14" s="146"/>
      <c r="Q14" s="86">
        <f>1.35*12*P4</f>
        <v>7281.9000000000015</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0.048*12*F4</f>
        <v>333.90720000000005</v>
      </c>
      <c r="H18" s="87"/>
      <c r="I18" s="129" t="s">
        <v>220</v>
      </c>
      <c r="J18" s="36"/>
      <c r="K18" s="12"/>
      <c r="L18" s="125" t="s">
        <v>230</v>
      </c>
      <c r="M18" s="126"/>
      <c r="N18" s="126"/>
      <c r="O18" s="126"/>
      <c r="P18" s="126"/>
      <c r="Q18" s="86">
        <f>0.048*12*P4</f>
        <v>258.91200000000003</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25.5" customHeight="1" thickBot="1" x14ac:dyDescent="0.3">
      <c r="A21" s="13"/>
      <c r="B21" s="84" t="s">
        <v>233</v>
      </c>
      <c r="C21" s="85"/>
      <c r="D21" s="85"/>
      <c r="E21" s="85"/>
      <c r="F21" s="85"/>
      <c r="G21" s="86">
        <f>1.5*12*F4</f>
        <v>10434.6</v>
      </c>
      <c r="H21" s="87"/>
      <c r="I21" s="299" t="s">
        <v>489</v>
      </c>
      <c r="J21" s="41"/>
      <c r="K21" s="13"/>
      <c r="L21" s="84" t="s">
        <v>233</v>
      </c>
      <c r="M21" s="85"/>
      <c r="N21" s="85"/>
      <c r="O21" s="85"/>
      <c r="P21" s="85"/>
      <c r="Q21" s="86">
        <f>1.5*12*P4</f>
        <v>8091</v>
      </c>
      <c r="R21" s="87"/>
      <c r="S21" s="92" t="s">
        <v>490</v>
      </c>
    </row>
    <row r="22" spans="1:19" ht="24.95" customHeight="1" x14ac:dyDescent="0.25">
      <c r="A22" s="118"/>
      <c r="B22" s="121" t="s">
        <v>226</v>
      </c>
      <c r="C22" s="122"/>
      <c r="D22" s="122"/>
      <c r="E22" s="122"/>
      <c r="F22" s="122"/>
      <c r="G22" s="88"/>
      <c r="H22" s="89"/>
      <c r="I22" s="300"/>
      <c r="J22" s="41"/>
      <c r="K22" s="118"/>
      <c r="L22" s="121" t="s">
        <v>226</v>
      </c>
      <c r="M22" s="122"/>
      <c r="N22" s="122"/>
      <c r="O22" s="122"/>
      <c r="P22" s="122"/>
      <c r="Q22" s="88"/>
      <c r="R22" s="89"/>
      <c r="S22" s="93"/>
    </row>
    <row r="23" spans="1:19" ht="27.95" customHeight="1" x14ac:dyDescent="0.25">
      <c r="A23" s="119"/>
      <c r="B23" s="121" t="s">
        <v>227</v>
      </c>
      <c r="C23" s="122"/>
      <c r="D23" s="122"/>
      <c r="E23" s="122"/>
      <c r="F23" s="122"/>
      <c r="G23" s="88"/>
      <c r="H23" s="89"/>
      <c r="I23" s="300"/>
      <c r="J23" s="42"/>
      <c r="K23" s="119"/>
      <c r="L23" s="121" t="s">
        <v>227</v>
      </c>
      <c r="M23" s="122"/>
      <c r="N23" s="122"/>
      <c r="O23" s="122"/>
      <c r="P23" s="122"/>
      <c r="Q23" s="88"/>
      <c r="R23" s="89"/>
      <c r="S23" s="93"/>
    </row>
    <row r="24" spans="1:19" ht="19.5" customHeight="1" x14ac:dyDescent="0.25">
      <c r="A24" s="119"/>
      <c r="B24" s="121" t="s">
        <v>228</v>
      </c>
      <c r="C24" s="122"/>
      <c r="D24" s="122"/>
      <c r="E24" s="122"/>
      <c r="F24" s="122"/>
      <c r="G24" s="88"/>
      <c r="H24" s="89"/>
      <c r="I24" s="300"/>
      <c r="J24" s="43"/>
      <c r="K24" s="119"/>
      <c r="L24" s="121" t="s">
        <v>228</v>
      </c>
      <c r="M24" s="122"/>
      <c r="N24" s="122"/>
      <c r="O24" s="122"/>
      <c r="P24" s="122"/>
      <c r="Q24" s="88"/>
      <c r="R24" s="89"/>
      <c r="S24" s="93"/>
    </row>
    <row r="25" spans="1:19" ht="30" customHeight="1" thickBot="1" x14ac:dyDescent="0.3">
      <c r="A25" s="120"/>
      <c r="B25" s="123" t="s">
        <v>234</v>
      </c>
      <c r="C25" s="124"/>
      <c r="D25" s="124"/>
      <c r="E25" s="124"/>
      <c r="F25" s="124"/>
      <c r="G25" s="90"/>
      <c r="H25" s="91"/>
      <c r="I25" s="301"/>
      <c r="J25" s="44"/>
      <c r="K25" s="120"/>
      <c r="L25" s="123" t="s">
        <v>234</v>
      </c>
      <c r="M25" s="124"/>
      <c r="N25" s="124"/>
      <c r="O25" s="124"/>
      <c r="P25" s="124"/>
      <c r="Q25" s="90"/>
      <c r="R25" s="91"/>
      <c r="S25" s="94"/>
    </row>
    <row r="26" spans="1:19" ht="18" customHeight="1" thickBot="1" x14ac:dyDescent="0.3">
      <c r="A26" s="15"/>
      <c r="B26" s="137" t="s">
        <v>248</v>
      </c>
      <c r="C26" s="138"/>
      <c r="D26" s="138"/>
      <c r="E26" s="138"/>
      <c r="F26" s="138"/>
      <c r="G26" s="139"/>
      <c r="H26" s="140"/>
      <c r="I26" s="16"/>
      <c r="J26" s="40"/>
      <c r="K26" s="15"/>
      <c r="L26" s="137" t="s">
        <v>248</v>
      </c>
      <c r="M26" s="138"/>
      <c r="N26" s="138"/>
      <c r="O26" s="138"/>
      <c r="P26" s="138"/>
      <c r="Q26" s="139"/>
      <c r="R26" s="140"/>
      <c r="S26" s="16"/>
    </row>
    <row r="27" spans="1:19" ht="36" customHeight="1" thickBot="1" x14ac:dyDescent="0.3">
      <c r="A27" s="15"/>
      <c r="B27" s="137" t="s">
        <v>235</v>
      </c>
      <c r="C27" s="138"/>
      <c r="D27" s="138"/>
      <c r="E27" s="138"/>
      <c r="F27" s="138"/>
      <c r="G27" s="139"/>
      <c r="H27" s="140"/>
      <c r="I27" s="16"/>
      <c r="J27" s="45"/>
      <c r="K27" s="15"/>
      <c r="L27" s="137" t="s">
        <v>235</v>
      </c>
      <c r="M27" s="138"/>
      <c r="N27" s="138"/>
      <c r="O27" s="138"/>
      <c r="P27" s="138"/>
      <c r="Q27" s="139"/>
      <c r="R27" s="140"/>
      <c r="S27" s="16"/>
    </row>
    <row r="28" spans="1:19" ht="27" customHeight="1" thickBot="1" x14ac:dyDescent="0.3">
      <c r="A28" s="17"/>
      <c r="B28" s="78" t="s">
        <v>237</v>
      </c>
      <c r="C28" s="79"/>
      <c r="D28" s="79"/>
      <c r="E28" s="79"/>
      <c r="F28" s="79"/>
      <c r="G28" s="86">
        <v>10006</v>
      </c>
      <c r="H28" s="87"/>
      <c r="I28" s="108" t="s">
        <v>229</v>
      </c>
      <c r="J28" s="41"/>
      <c r="K28" s="17"/>
      <c r="L28" s="78" t="s">
        <v>237</v>
      </c>
      <c r="M28" s="79"/>
      <c r="N28" s="79"/>
      <c r="O28" s="79"/>
      <c r="P28" s="79"/>
      <c r="Q28" s="86">
        <v>1989</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38165.507200000007</v>
      </c>
      <c r="H30" s="115"/>
      <c r="I30" s="20"/>
      <c r="J30" s="47"/>
      <c r="K30" s="19"/>
      <c r="L30" s="112" t="s">
        <v>239</v>
      </c>
      <c r="M30" s="113"/>
      <c r="N30" s="113"/>
      <c r="O30" s="113"/>
      <c r="P30" s="113"/>
      <c r="Q30" s="114">
        <f>SUM(Q9:R29)</f>
        <v>25657.872000000003</v>
      </c>
      <c r="R30" s="115"/>
      <c r="S30" s="20"/>
    </row>
    <row r="31" spans="1:19" ht="21" customHeight="1" thickBot="1" x14ac:dyDescent="0.3">
      <c r="A31" s="21"/>
      <c r="B31" s="101" t="s">
        <v>240</v>
      </c>
      <c r="C31" s="102"/>
      <c r="D31" s="102"/>
      <c r="E31" s="102"/>
      <c r="F31" s="102"/>
      <c r="G31" s="116">
        <f>G30*1.2</f>
        <v>45798.608640000006</v>
      </c>
      <c r="H31" s="117"/>
      <c r="I31" s="22"/>
      <c r="J31" s="47"/>
      <c r="K31" s="21"/>
      <c r="L31" s="101" t="s">
        <v>240</v>
      </c>
      <c r="M31" s="102"/>
      <c r="N31" s="102"/>
      <c r="O31" s="102"/>
      <c r="P31" s="102"/>
      <c r="Q31" s="116">
        <f>Q30*1.2</f>
        <v>30789.446400000001</v>
      </c>
      <c r="R31" s="117"/>
      <c r="S31" s="22"/>
    </row>
    <row r="32" spans="1:19" ht="21" customHeight="1" thickBot="1" x14ac:dyDescent="0.3">
      <c r="A32" s="24"/>
      <c r="B32" s="96" t="s">
        <v>443</v>
      </c>
      <c r="C32" s="97"/>
      <c r="D32" s="97"/>
      <c r="E32" s="97"/>
      <c r="F32" s="97"/>
      <c r="G32" s="311">
        <v>47753.34</v>
      </c>
      <c r="H32" s="312"/>
      <c r="I32" s="313"/>
      <c r="J32" s="47"/>
      <c r="K32" s="24"/>
      <c r="L32" s="96" t="s">
        <v>443</v>
      </c>
      <c r="M32" s="97"/>
      <c r="N32" s="97"/>
      <c r="O32" s="97"/>
      <c r="P32" s="97"/>
      <c r="Q32" s="311">
        <v>32535.15</v>
      </c>
      <c r="R32" s="312"/>
      <c r="S32" s="313"/>
    </row>
    <row r="33" spans="1:19" ht="21" customHeight="1" thickBot="1" x14ac:dyDescent="0.3">
      <c r="A33" s="19"/>
      <c r="B33" s="101" t="s">
        <v>242</v>
      </c>
      <c r="C33" s="102"/>
      <c r="D33" s="102"/>
      <c r="E33" s="102"/>
      <c r="F33" s="102"/>
      <c r="G33" s="307">
        <v>46753.34</v>
      </c>
      <c r="H33" s="308"/>
      <c r="I33" s="309"/>
      <c r="J33" s="48"/>
      <c r="K33" s="19"/>
      <c r="L33" s="101" t="s">
        <v>242</v>
      </c>
      <c r="M33" s="102"/>
      <c r="N33" s="102"/>
      <c r="O33" s="102"/>
      <c r="P33" s="102"/>
      <c r="Q33" s="307">
        <v>30390.27</v>
      </c>
      <c r="R33" s="308"/>
      <c r="S33" s="309"/>
    </row>
    <row r="34" spans="1:19" ht="21" customHeight="1" thickBot="1" x14ac:dyDescent="0.3">
      <c r="A34" s="19"/>
      <c r="B34" s="106" t="s">
        <v>444</v>
      </c>
      <c r="C34" s="107"/>
      <c r="D34" s="107"/>
      <c r="E34" s="107"/>
      <c r="F34" s="107"/>
      <c r="G34" s="307">
        <v>1746.07</v>
      </c>
      <c r="H34" s="308"/>
      <c r="I34" s="309"/>
      <c r="J34" s="49"/>
      <c r="K34" s="19"/>
      <c r="L34" s="106" t="s">
        <v>444</v>
      </c>
      <c r="M34" s="107"/>
      <c r="N34" s="107"/>
      <c r="O34" s="107"/>
      <c r="P34" s="107"/>
      <c r="Q34" s="307">
        <v>2140.2399999999998</v>
      </c>
      <c r="R34" s="308"/>
      <c r="S34" s="309"/>
    </row>
    <row r="35" spans="1:19" ht="21" customHeight="1" x14ac:dyDescent="0.25">
      <c r="A35" s="4"/>
      <c r="B35" s="315"/>
      <c r="C35" s="315"/>
      <c r="D35" s="315"/>
      <c r="E35" s="315"/>
      <c r="F35" s="315"/>
      <c r="G35" s="315"/>
      <c r="H35" s="315"/>
      <c r="I35" s="315"/>
      <c r="K35" s="4"/>
      <c r="L35" s="310"/>
      <c r="M35" s="310"/>
      <c r="N35" s="310"/>
      <c r="O35" s="310"/>
      <c r="P35" s="310"/>
      <c r="Q35" s="310"/>
      <c r="R35" s="310"/>
      <c r="S35" s="310"/>
    </row>
    <row r="36" spans="1:19" x14ac:dyDescent="0.25">
      <c r="E36" s="50"/>
      <c r="I36" s="5"/>
      <c r="O36" s="50"/>
      <c r="S36" s="5"/>
    </row>
    <row r="37" spans="1:19" ht="15.75" x14ac:dyDescent="0.25">
      <c r="A37" s="30"/>
      <c r="C37" s="30"/>
      <c r="K37" s="30"/>
      <c r="N37" s="30"/>
    </row>
    <row r="38" spans="1:19" x14ac:dyDescent="0.25">
      <c r="A38" s="3"/>
      <c r="B38" s="3"/>
      <c r="C38" s="3"/>
      <c r="D38" s="3"/>
      <c r="E38" s="4" t="s">
        <v>204</v>
      </c>
      <c r="F38" s="3"/>
      <c r="G38" s="3"/>
      <c r="H38" s="3"/>
      <c r="I38" s="3"/>
      <c r="K38" s="3"/>
      <c r="L38" s="3"/>
      <c r="M38" s="3"/>
      <c r="N38" s="3"/>
      <c r="O38" s="4" t="s">
        <v>204</v>
      </c>
      <c r="P38" s="3"/>
      <c r="Q38" s="3"/>
      <c r="R38" s="3"/>
      <c r="S38" s="3"/>
    </row>
    <row r="39" spans="1:19" x14ac:dyDescent="0.25">
      <c r="A39" s="3" t="s">
        <v>205</v>
      </c>
      <c r="B39" s="3"/>
      <c r="C39" s="3"/>
      <c r="D39" s="3" t="s">
        <v>275</v>
      </c>
      <c r="E39" s="3"/>
      <c r="F39" s="3"/>
      <c r="G39" s="3"/>
      <c r="H39" s="3"/>
      <c r="I39" s="3"/>
      <c r="K39" s="3" t="s">
        <v>205</v>
      </c>
      <c r="L39" s="3"/>
      <c r="M39" s="3"/>
      <c r="N39" s="3" t="s">
        <v>276</v>
      </c>
      <c r="O39" s="3"/>
      <c r="P39" s="3"/>
      <c r="Q39" s="3"/>
      <c r="R39" s="3"/>
      <c r="S39" s="3"/>
    </row>
    <row r="40" spans="1:19" x14ac:dyDescent="0.25">
      <c r="A40" s="3"/>
      <c r="B40" s="5" t="s">
        <v>440</v>
      </c>
      <c r="C40" s="3"/>
      <c r="D40" s="3"/>
      <c r="E40" s="3"/>
      <c r="F40" s="3"/>
      <c r="G40" s="3"/>
      <c r="H40" s="3"/>
      <c r="I40" s="3"/>
      <c r="J40" s="3"/>
      <c r="K40" s="3"/>
      <c r="L40" s="5" t="s">
        <v>440</v>
      </c>
      <c r="M40" s="3"/>
      <c r="N40" s="3"/>
      <c r="O40" s="3"/>
      <c r="P40" s="3"/>
      <c r="Q40" s="3"/>
      <c r="R40" s="3"/>
      <c r="S40" s="3"/>
    </row>
    <row r="41" spans="1:19" ht="15.75" thickBot="1" x14ac:dyDescent="0.3">
      <c r="A41" s="3"/>
      <c r="B41" s="5" t="s">
        <v>206</v>
      </c>
      <c r="C41" s="3"/>
      <c r="D41" s="3"/>
      <c r="E41" s="3"/>
      <c r="F41" s="3">
        <v>894.7</v>
      </c>
      <c r="G41" s="3" t="s">
        <v>207</v>
      </c>
      <c r="H41" s="3"/>
      <c r="I41" s="3"/>
      <c r="J41" s="3"/>
      <c r="K41" s="3"/>
      <c r="L41" s="5" t="s">
        <v>206</v>
      </c>
      <c r="M41" s="3"/>
      <c r="N41" s="3"/>
      <c r="O41" s="3"/>
      <c r="P41" s="3">
        <v>371.4</v>
      </c>
      <c r="Q41" s="3" t="s">
        <v>207</v>
      </c>
      <c r="R41" s="3"/>
      <c r="S41" s="3"/>
    </row>
    <row r="42" spans="1:19" ht="15" customHeight="1" x14ac:dyDescent="0.25">
      <c r="A42" s="175" t="s">
        <v>209</v>
      </c>
      <c r="B42" s="177" t="s">
        <v>210</v>
      </c>
      <c r="C42" s="178"/>
      <c r="D42" s="178"/>
      <c r="E42" s="178"/>
      <c r="F42" s="178"/>
      <c r="G42" s="180" t="s">
        <v>442</v>
      </c>
      <c r="H42" s="181"/>
      <c r="I42" s="175" t="s">
        <v>212</v>
      </c>
      <c r="J42" s="51"/>
      <c r="K42" s="175" t="s">
        <v>209</v>
      </c>
      <c r="L42" s="177" t="s">
        <v>210</v>
      </c>
      <c r="M42" s="178"/>
      <c r="N42" s="178"/>
      <c r="O42" s="178"/>
      <c r="P42" s="178"/>
      <c r="Q42" s="180" t="s">
        <v>441</v>
      </c>
      <c r="R42" s="181"/>
      <c r="S42" s="175" t="s">
        <v>212</v>
      </c>
    </row>
    <row r="43" spans="1:19" ht="69" customHeight="1" thickBot="1" x14ac:dyDescent="0.3">
      <c r="A43" s="176"/>
      <c r="B43" s="179"/>
      <c r="C43" s="179"/>
      <c r="D43" s="179"/>
      <c r="E43" s="179"/>
      <c r="F43" s="179"/>
      <c r="G43" s="182"/>
      <c r="H43" s="183"/>
      <c r="I43" s="184"/>
      <c r="J43" s="52"/>
      <c r="K43" s="176"/>
      <c r="L43" s="179"/>
      <c r="M43" s="179"/>
      <c r="N43" s="179"/>
      <c r="O43" s="179"/>
      <c r="P43" s="179"/>
      <c r="Q43" s="182"/>
      <c r="R43" s="183"/>
      <c r="S43" s="184"/>
    </row>
    <row r="44" spans="1:19" ht="15" customHeight="1" x14ac:dyDescent="0.25">
      <c r="A44" s="185" t="s">
        <v>213</v>
      </c>
      <c r="B44" s="187" t="s">
        <v>354</v>
      </c>
      <c r="C44" s="188"/>
      <c r="D44" s="188"/>
      <c r="E44" s="188"/>
      <c r="F44" s="188"/>
      <c r="G44" s="190">
        <v>6492.1</v>
      </c>
      <c r="H44" s="191"/>
      <c r="I44" s="192"/>
      <c r="J44" s="53"/>
      <c r="K44" s="185" t="s">
        <v>213</v>
      </c>
      <c r="L44" s="187" t="s">
        <v>447</v>
      </c>
      <c r="M44" s="188"/>
      <c r="N44" s="188"/>
      <c r="O44" s="188"/>
      <c r="P44" s="188"/>
      <c r="Q44" s="190">
        <v>2680.55</v>
      </c>
      <c r="R44" s="191"/>
      <c r="S44" s="192"/>
    </row>
    <row r="45" spans="1:19" ht="7.5" customHeight="1" thickBot="1" x14ac:dyDescent="0.3">
      <c r="A45" s="186"/>
      <c r="B45" s="189"/>
      <c r="C45" s="189"/>
      <c r="D45" s="189"/>
      <c r="E45" s="189"/>
      <c r="F45" s="189"/>
      <c r="G45" s="193"/>
      <c r="H45" s="194"/>
      <c r="I45" s="128"/>
      <c r="J45" s="54"/>
      <c r="K45" s="186"/>
      <c r="L45" s="189"/>
      <c r="M45" s="189"/>
      <c r="N45" s="189"/>
      <c r="O45" s="189"/>
      <c r="P45" s="189"/>
      <c r="Q45" s="193"/>
      <c r="R45" s="194"/>
      <c r="S45" s="128"/>
    </row>
    <row r="46" spans="1:19" ht="17.25" customHeight="1" x14ac:dyDescent="0.25">
      <c r="A46" s="6"/>
      <c r="B46" s="161" t="s">
        <v>214</v>
      </c>
      <c r="C46" s="162"/>
      <c r="D46" s="162"/>
      <c r="E46" s="162"/>
      <c r="F46" s="162"/>
      <c r="G46" s="163">
        <f>1.45*12*F41</f>
        <v>15567.779999999999</v>
      </c>
      <c r="H46" s="164"/>
      <c r="I46" s="169" t="s">
        <v>215</v>
      </c>
      <c r="J46" s="42"/>
      <c r="K46" s="6"/>
      <c r="L46" s="161" t="s">
        <v>214</v>
      </c>
      <c r="M46" s="162"/>
      <c r="N46" s="162"/>
      <c r="O46" s="162"/>
      <c r="P46" s="162"/>
      <c r="Q46" s="163">
        <f>1*12*P41</f>
        <v>4456.7999999999993</v>
      </c>
      <c r="R46" s="164"/>
      <c r="S46" s="169" t="s">
        <v>215</v>
      </c>
    </row>
    <row r="47" spans="1:19" ht="30.75" customHeight="1" thickBot="1" x14ac:dyDescent="0.3">
      <c r="A47" s="7"/>
      <c r="B47" s="171" t="s">
        <v>216</v>
      </c>
      <c r="C47" s="172"/>
      <c r="D47" s="172"/>
      <c r="E47" s="172"/>
      <c r="F47" s="172"/>
      <c r="G47" s="165"/>
      <c r="H47" s="166"/>
      <c r="I47" s="170"/>
      <c r="J47" s="43"/>
      <c r="K47" s="7"/>
      <c r="L47" s="171" t="s">
        <v>216</v>
      </c>
      <c r="M47" s="172"/>
      <c r="N47" s="172"/>
      <c r="O47" s="172"/>
      <c r="P47" s="172"/>
      <c r="Q47" s="165"/>
      <c r="R47" s="166"/>
      <c r="S47" s="170"/>
    </row>
    <row r="48" spans="1:19" ht="13.5" customHeight="1" thickBot="1" x14ac:dyDescent="0.3">
      <c r="A48" s="7"/>
      <c r="B48" s="173" t="s">
        <v>217</v>
      </c>
      <c r="C48" s="174"/>
      <c r="D48" s="174"/>
      <c r="E48" s="174"/>
      <c r="F48" s="174"/>
      <c r="G48" s="167"/>
      <c r="H48" s="168"/>
      <c r="I48" s="8" t="s">
        <v>218</v>
      </c>
      <c r="J48" s="43"/>
      <c r="K48" s="7"/>
      <c r="L48" s="173" t="s">
        <v>217</v>
      </c>
      <c r="M48" s="174"/>
      <c r="N48" s="174"/>
      <c r="O48" s="174"/>
      <c r="P48" s="174"/>
      <c r="Q48" s="167"/>
      <c r="R48" s="168"/>
      <c r="S48" s="8" t="s">
        <v>218</v>
      </c>
    </row>
    <row r="49" spans="1:19" ht="18" customHeight="1" thickBot="1" x14ac:dyDescent="0.3">
      <c r="A49" s="7"/>
      <c r="B49" s="141" t="s">
        <v>219</v>
      </c>
      <c r="C49" s="142"/>
      <c r="D49" s="142"/>
      <c r="E49" s="142"/>
      <c r="F49" s="142"/>
      <c r="G49" s="143">
        <v>0</v>
      </c>
      <c r="H49" s="144"/>
      <c r="I49" s="8" t="s">
        <v>220</v>
      </c>
      <c r="J49" s="55"/>
      <c r="K49" s="7"/>
      <c r="L49" s="141" t="s">
        <v>219</v>
      </c>
      <c r="M49" s="142"/>
      <c r="N49" s="142"/>
      <c r="O49" s="142"/>
      <c r="P49" s="142"/>
      <c r="Q49" s="143">
        <v>0</v>
      </c>
      <c r="R49" s="144"/>
      <c r="S49" s="8" t="s">
        <v>220</v>
      </c>
    </row>
    <row r="50" spans="1:19" ht="18" customHeight="1" thickBot="1" x14ac:dyDescent="0.3">
      <c r="A50" s="7"/>
      <c r="B50" s="141" t="s">
        <v>221</v>
      </c>
      <c r="C50" s="142"/>
      <c r="D50" s="142"/>
      <c r="E50" s="142"/>
      <c r="F50" s="142"/>
      <c r="G50" s="143">
        <f>0.3*12*F41</f>
        <v>3220.92</v>
      </c>
      <c r="H50" s="144"/>
      <c r="I50" s="8" t="s">
        <v>222</v>
      </c>
      <c r="J50" s="56"/>
      <c r="K50" s="7"/>
      <c r="L50" s="141" t="s">
        <v>221</v>
      </c>
      <c r="M50" s="142"/>
      <c r="N50" s="142"/>
      <c r="O50" s="142"/>
      <c r="P50" s="142"/>
      <c r="Q50" s="143">
        <f>0.2*12*P41</f>
        <v>891.36000000000013</v>
      </c>
      <c r="R50" s="144"/>
      <c r="S50" s="8" t="s">
        <v>222</v>
      </c>
    </row>
    <row r="51" spans="1:19" ht="13.5" customHeight="1" x14ac:dyDescent="0.25">
      <c r="A51" s="9"/>
      <c r="B51" s="145" t="s">
        <v>223</v>
      </c>
      <c r="C51" s="146"/>
      <c r="D51" s="146"/>
      <c r="E51" s="146"/>
      <c r="F51" s="146"/>
      <c r="G51" s="86">
        <f>1.9*12*F41</f>
        <v>20399.16</v>
      </c>
      <c r="H51" s="147"/>
      <c r="I51" s="152" t="s">
        <v>224</v>
      </c>
      <c r="J51" s="56"/>
      <c r="K51" s="9"/>
      <c r="L51" s="145" t="s">
        <v>223</v>
      </c>
      <c r="M51" s="146"/>
      <c r="N51" s="146"/>
      <c r="O51" s="146"/>
      <c r="P51" s="146"/>
      <c r="Q51" s="86">
        <f>1.35*12*P41</f>
        <v>6016.68</v>
      </c>
      <c r="R51" s="147"/>
      <c r="S51" s="152" t="s">
        <v>224</v>
      </c>
    </row>
    <row r="52" spans="1:19" ht="13.5" customHeight="1" x14ac:dyDescent="0.25">
      <c r="A52" s="10"/>
      <c r="B52" s="155" t="s">
        <v>226</v>
      </c>
      <c r="C52" s="156"/>
      <c r="D52" s="156"/>
      <c r="E52" s="156"/>
      <c r="F52" s="156"/>
      <c r="G52" s="148"/>
      <c r="H52" s="149"/>
      <c r="I52" s="153"/>
      <c r="J52" s="57"/>
      <c r="K52" s="10"/>
      <c r="L52" s="155" t="s">
        <v>226</v>
      </c>
      <c r="M52" s="156"/>
      <c r="N52" s="156"/>
      <c r="O52" s="156"/>
      <c r="P52" s="156"/>
      <c r="Q52" s="148"/>
      <c r="R52" s="149"/>
      <c r="S52" s="153"/>
    </row>
    <row r="53" spans="1:19" ht="13.5" customHeight="1" thickBot="1" x14ac:dyDescent="0.3">
      <c r="A53" s="10"/>
      <c r="B53" s="157" t="s">
        <v>227</v>
      </c>
      <c r="C53" s="158"/>
      <c r="D53" s="158"/>
      <c r="E53" s="158"/>
      <c r="F53" s="158"/>
      <c r="G53" s="148"/>
      <c r="H53" s="149"/>
      <c r="I53" s="154"/>
      <c r="J53" s="43"/>
      <c r="K53" s="10"/>
      <c r="L53" s="157" t="s">
        <v>227</v>
      </c>
      <c r="M53" s="158"/>
      <c r="N53" s="158"/>
      <c r="O53" s="158"/>
      <c r="P53" s="158"/>
      <c r="Q53" s="148"/>
      <c r="R53" s="149"/>
      <c r="S53" s="154"/>
    </row>
    <row r="54" spans="1:19" ht="13.5" customHeight="1" thickBot="1" x14ac:dyDescent="0.3">
      <c r="A54" s="10"/>
      <c r="B54" s="159" t="s">
        <v>228</v>
      </c>
      <c r="C54" s="160"/>
      <c r="D54" s="160"/>
      <c r="E54" s="160"/>
      <c r="F54" s="160"/>
      <c r="G54" s="150"/>
      <c r="H54" s="151"/>
      <c r="I54" s="11" t="s">
        <v>229</v>
      </c>
      <c r="J54" s="43"/>
      <c r="K54" s="10"/>
      <c r="L54" s="159" t="s">
        <v>228</v>
      </c>
      <c r="M54" s="160"/>
      <c r="N54" s="160"/>
      <c r="O54" s="160"/>
      <c r="P54" s="160"/>
      <c r="Q54" s="150"/>
      <c r="R54" s="151"/>
      <c r="S54" s="11" t="s">
        <v>229</v>
      </c>
    </row>
    <row r="55" spans="1:19" ht="13.5" customHeight="1" x14ac:dyDescent="0.25">
      <c r="A55" s="12"/>
      <c r="B55" s="125" t="s">
        <v>230</v>
      </c>
      <c r="C55" s="126"/>
      <c r="D55" s="126"/>
      <c r="E55" s="126"/>
      <c r="F55" s="126"/>
      <c r="G55" s="86">
        <f>0.048*12*F41</f>
        <v>515.34720000000004</v>
      </c>
      <c r="H55" s="87"/>
      <c r="I55" s="129" t="s">
        <v>220</v>
      </c>
      <c r="J55" s="43"/>
      <c r="K55" s="12"/>
      <c r="L55" s="125" t="s">
        <v>230</v>
      </c>
      <c r="M55" s="126"/>
      <c r="N55" s="126"/>
      <c r="O55" s="126"/>
      <c r="P55" s="126"/>
      <c r="Q55" s="86"/>
      <c r="R55" s="87"/>
      <c r="S55" s="129" t="s">
        <v>220</v>
      </c>
    </row>
    <row r="56" spans="1:19" ht="13.5" customHeight="1" thickBot="1" x14ac:dyDescent="0.3">
      <c r="A56" s="7"/>
      <c r="B56" s="131" t="s">
        <v>231</v>
      </c>
      <c r="C56" s="132"/>
      <c r="D56" s="132"/>
      <c r="E56" s="132"/>
      <c r="F56" s="132"/>
      <c r="G56" s="127"/>
      <c r="H56" s="128"/>
      <c r="I56" s="130"/>
      <c r="J56" s="43"/>
      <c r="K56" s="7"/>
      <c r="L56" s="131" t="s">
        <v>231</v>
      </c>
      <c r="M56" s="132"/>
      <c r="N56" s="132"/>
      <c r="O56" s="132"/>
      <c r="P56" s="132"/>
      <c r="Q56" s="127"/>
      <c r="R56" s="128"/>
      <c r="S56" s="130"/>
    </row>
    <row r="57" spans="1:19" ht="15.75" customHeight="1" thickBot="1" x14ac:dyDescent="0.3">
      <c r="A57" s="13"/>
      <c r="B57" s="133" t="s">
        <v>232</v>
      </c>
      <c r="C57" s="134"/>
      <c r="D57" s="134"/>
      <c r="E57" s="134"/>
      <c r="F57" s="134"/>
      <c r="G57" s="135"/>
      <c r="H57" s="136"/>
      <c r="I57" s="14"/>
      <c r="J57" s="58"/>
      <c r="K57" s="13"/>
      <c r="L57" s="133" t="s">
        <v>232</v>
      </c>
      <c r="M57" s="134"/>
      <c r="N57" s="134"/>
      <c r="O57" s="134"/>
      <c r="P57" s="134"/>
      <c r="Q57" s="135"/>
      <c r="R57" s="136"/>
      <c r="S57" s="14"/>
    </row>
    <row r="58" spans="1:19" ht="15.75" customHeight="1" thickBot="1" x14ac:dyDescent="0.3">
      <c r="A58" s="13"/>
      <c r="B58" s="84" t="s">
        <v>233</v>
      </c>
      <c r="C58" s="85"/>
      <c r="D58" s="85"/>
      <c r="E58" s="85"/>
      <c r="F58" s="85"/>
      <c r="G58" s="86">
        <f>1.65*12*F41</f>
        <v>17715.059999999998</v>
      </c>
      <c r="H58" s="87"/>
      <c r="I58" s="320" t="s">
        <v>491</v>
      </c>
      <c r="J58" s="41"/>
      <c r="K58" s="13"/>
      <c r="L58" s="84" t="s">
        <v>233</v>
      </c>
      <c r="M58" s="85"/>
      <c r="N58" s="85"/>
      <c r="O58" s="85"/>
      <c r="P58" s="85"/>
      <c r="Q58" s="86">
        <f>1.05*12*P41</f>
        <v>4679.6400000000003</v>
      </c>
      <c r="R58" s="87"/>
      <c r="S58" s="299" t="s">
        <v>492</v>
      </c>
    </row>
    <row r="59" spans="1:19" ht="27.75" customHeight="1" x14ac:dyDescent="0.25">
      <c r="A59" s="118"/>
      <c r="B59" s="121" t="s">
        <v>226</v>
      </c>
      <c r="C59" s="122"/>
      <c r="D59" s="122"/>
      <c r="E59" s="122"/>
      <c r="F59" s="122"/>
      <c r="G59" s="88"/>
      <c r="H59" s="89"/>
      <c r="I59" s="321"/>
      <c r="J59" s="41"/>
      <c r="K59" s="118"/>
      <c r="L59" s="121" t="s">
        <v>226</v>
      </c>
      <c r="M59" s="122"/>
      <c r="N59" s="122"/>
      <c r="O59" s="122"/>
      <c r="P59" s="122"/>
      <c r="Q59" s="88"/>
      <c r="R59" s="89"/>
      <c r="S59" s="300"/>
    </row>
    <row r="60" spans="1:19" ht="27.75" customHeight="1" x14ac:dyDescent="0.25">
      <c r="A60" s="119"/>
      <c r="B60" s="121" t="s">
        <v>227</v>
      </c>
      <c r="C60" s="122"/>
      <c r="D60" s="122"/>
      <c r="E60" s="122"/>
      <c r="F60" s="122"/>
      <c r="G60" s="88"/>
      <c r="H60" s="89"/>
      <c r="I60" s="321"/>
      <c r="J60" s="42"/>
      <c r="K60" s="119"/>
      <c r="L60" s="121" t="s">
        <v>227</v>
      </c>
      <c r="M60" s="122"/>
      <c r="N60" s="122"/>
      <c r="O60" s="122"/>
      <c r="P60" s="122"/>
      <c r="Q60" s="88"/>
      <c r="R60" s="89"/>
      <c r="S60" s="300"/>
    </row>
    <row r="61" spans="1:19" ht="29.25" customHeight="1" x14ac:dyDescent="0.25">
      <c r="A61" s="119"/>
      <c r="B61" s="121" t="s">
        <v>228</v>
      </c>
      <c r="C61" s="122"/>
      <c r="D61" s="122"/>
      <c r="E61" s="122"/>
      <c r="F61" s="122"/>
      <c r="G61" s="88"/>
      <c r="H61" s="89"/>
      <c r="I61" s="321"/>
      <c r="J61" s="43"/>
      <c r="K61" s="119"/>
      <c r="L61" s="121" t="s">
        <v>228</v>
      </c>
      <c r="M61" s="122"/>
      <c r="N61" s="122"/>
      <c r="O61" s="122"/>
      <c r="P61" s="122"/>
      <c r="Q61" s="88"/>
      <c r="R61" s="89"/>
      <c r="S61" s="300"/>
    </row>
    <row r="62" spans="1:19" ht="52.5" customHeight="1" thickBot="1" x14ac:dyDescent="0.3">
      <c r="A62" s="120"/>
      <c r="B62" s="123" t="s">
        <v>234</v>
      </c>
      <c r="C62" s="124"/>
      <c r="D62" s="124"/>
      <c r="E62" s="124"/>
      <c r="F62" s="124"/>
      <c r="G62" s="90"/>
      <c r="H62" s="91"/>
      <c r="I62" s="322"/>
      <c r="J62" s="59"/>
      <c r="K62" s="120"/>
      <c r="L62" s="123" t="s">
        <v>234</v>
      </c>
      <c r="M62" s="124"/>
      <c r="N62" s="124"/>
      <c r="O62" s="124"/>
      <c r="P62" s="124"/>
      <c r="Q62" s="90"/>
      <c r="R62" s="91"/>
      <c r="S62" s="301"/>
    </row>
    <row r="63" spans="1:19" ht="0.75" customHeight="1" thickBot="1" x14ac:dyDescent="0.3">
      <c r="A63" s="15"/>
      <c r="B63" s="137" t="s">
        <v>248</v>
      </c>
      <c r="C63" s="138"/>
      <c r="D63" s="138"/>
      <c r="E63" s="138"/>
      <c r="F63" s="138"/>
      <c r="G63" s="139"/>
      <c r="H63" s="140"/>
      <c r="I63" s="16"/>
      <c r="J63" s="58"/>
      <c r="K63" s="15"/>
      <c r="L63" s="137" t="s">
        <v>248</v>
      </c>
      <c r="M63" s="138"/>
      <c r="N63" s="138"/>
      <c r="O63" s="138"/>
      <c r="P63" s="138"/>
      <c r="Q63" s="139"/>
      <c r="R63" s="140"/>
      <c r="S63" s="16"/>
    </row>
    <row r="64" spans="1:19" ht="2.25" customHeight="1" thickBot="1" x14ac:dyDescent="0.3">
      <c r="A64" s="15"/>
      <c r="B64" s="137" t="s">
        <v>235</v>
      </c>
      <c r="C64" s="138"/>
      <c r="D64" s="138"/>
      <c r="E64" s="138"/>
      <c r="F64" s="138"/>
      <c r="G64" s="139"/>
      <c r="H64" s="140"/>
      <c r="I64" s="16"/>
      <c r="J64" s="45"/>
      <c r="K64" s="15"/>
      <c r="L64" s="137" t="s">
        <v>235</v>
      </c>
      <c r="M64" s="138"/>
      <c r="N64" s="138"/>
      <c r="O64" s="138"/>
      <c r="P64" s="138"/>
      <c r="Q64" s="139"/>
      <c r="R64" s="140"/>
      <c r="S64" s="16"/>
    </row>
    <row r="65" spans="1:19" ht="32.25" customHeight="1" thickBot="1" x14ac:dyDescent="0.3">
      <c r="A65" s="17"/>
      <c r="B65" s="78" t="s">
        <v>237</v>
      </c>
      <c r="C65" s="79"/>
      <c r="D65" s="79"/>
      <c r="E65" s="79"/>
      <c r="F65" s="79"/>
      <c r="G65" s="86">
        <v>7955</v>
      </c>
      <c r="H65" s="87"/>
      <c r="I65" s="108" t="s">
        <v>229</v>
      </c>
      <c r="J65" s="41"/>
      <c r="K65" s="17"/>
      <c r="L65" s="78" t="s">
        <v>237</v>
      </c>
      <c r="M65" s="79"/>
      <c r="N65" s="79"/>
      <c r="O65" s="79"/>
      <c r="P65" s="79"/>
      <c r="Q65" s="86">
        <v>7955</v>
      </c>
      <c r="R65" s="87"/>
      <c r="S65" s="108" t="s">
        <v>229</v>
      </c>
    </row>
    <row r="66" spans="1:19" ht="15.75" customHeight="1" thickBot="1" x14ac:dyDescent="0.3">
      <c r="A66" s="18"/>
      <c r="B66" s="110" t="s">
        <v>238</v>
      </c>
      <c r="C66" s="111"/>
      <c r="D66" s="111"/>
      <c r="E66" s="111"/>
      <c r="F66" s="111"/>
      <c r="G66" s="90"/>
      <c r="H66" s="91"/>
      <c r="I66" s="109"/>
      <c r="J66" s="41"/>
      <c r="K66" s="18"/>
      <c r="L66" s="110" t="s">
        <v>238</v>
      </c>
      <c r="M66" s="111"/>
      <c r="N66" s="111"/>
      <c r="O66" s="111"/>
      <c r="P66" s="111"/>
      <c r="Q66" s="90"/>
      <c r="R66" s="91"/>
      <c r="S66" s="109"/>
    </row>
    <row r="67" spans="1:19" ht="25.5" customHeight="1" thickBot="1" x14ac:dyDescent="0.3">
      <c r="A67" s="19"/>
      <c r="B67" s="112" t="s">
        <v>239</v>
      </c>
      <c r="C67" s="113"/>
      <c r="D67" s="113"/>
      <c r="E67" s="113"/>
      <c r="F67" s="113"/>
      <c r="G67" s="114">
        <f>SUM(G46:H66)</f>
        <v>65373.267199999995</v>
      </c>
      <c r="H67" s="115"/>
      <c r="I67" s="20"/>
      <c r="J67" s="60"/>
      <c r="K67" s="19"/>
      <c r="L67" s="112" t="s">
        <v>239</v>
      </c>
      <c r="M67" s="113"/>
      <c r="N67" s="113"/>
      <c r="O67" s="113"/>
      <c r="P67" s="113"/>
      <c r="Q67" s="114">
        <f>SUM(Q46:R66)</f>
        <v>23999.48</v>
      </c>
      <c r="R67" s="115"/>
      <c r="S67" s="20"/>
    </row>
    <row r="68" spans="1:19" ht="25.5" customHeight="1" thickBot="1" x14ac:dyDescent="0.3">
      <c r="A68" s="21"/>
      <c r="B68" s="101" t="s">
        <v>240</v>
      </c>
      <c r="C68" s="102"/>
      <c r="D68" s="102"/>
      <c r="E68" s="102"/>
      <c r="F68" s="102"/>
      <c r="G68" s="116">
        <f>G67*1.2</f>
        <v>78447.920639999997</v>
      </c>
      <c r="H68" s="117"/>
      <c r="I68" s="22"/>
      <c r="J68" s="60"/>
      <c r="K68" s="21"/>
      <c r="L68" s="101" t="s">
        <v>240</v>
      </c>
      <c r="M68" s="102"/>
      <c r="N68" s="102"/>
      <c r="O68" s="102"/>
      <c r="P68" s="102"/>
      <c r="Q68" s="116">
        <f>Q67*1.2</f>
        <v>28799.376</v>
      </c>
      <c r="R68" s="117"/>
      <c r="S68" s="22"/>
    </row>
    <row r="69" spans="1:19" ht="25.5" customHeight="1" thickBot="1" x14ac:dyDescent="0.3">
      <c r="A69" s="24"/>
      <c r="B69" s="96" t="s">
        <v>443</v>
      </c>
      <c r="C69" s="97"/>
      <c r="D69" s="97"/>
      <c r="E69" s="97"/>
      <c r="F69" s="97"/>
      <c r="G69" s="311">
        <v>69798.960000000006</v>
      </c>
      <c r="H69" s="312"/>
      <c r="I69" s="313"/>
      <c r="J69" s="60"/>
      <c r="K69" s="24"/>
      <c r="L69" s="96" t="s">
        <v>443</v>
      </c>
      <c r="M69" s="97"/>
      <c r="N69" s="97"/>
      <c r="O69" s="97"/>
      <c r="P69" s="97"/>
      <c r="Q69" s="311">
        <v>28814.400000000001</v>
      </c>
      <c r="R69" s="312"/>
      <c r="S69" s="313"/>
    </row>
    <row r="70" spans="1:19" ht="25.5" customHeight="1" thickBot="1" x14ac:dyDescent="0.3">
      <c r="A70" s="19"/>
      <c r="B70" s="101" t="s">
        <v>242</v>
      </c>
      <c r="C70" s="102"/>
      <c r="D70" s="102"/>
      <c r="E70" s="102"/>
      <c r="F70" s="102"/>
      <c r="G70" s="307">
        <v>72018.36</v>
      </c>
      <c r="H70" s="308"/>
      <c r="I70" s="309"/>
      <c r="K70" s="19"/>
      <c r="L70" s="101" t="s">
        <v>242</v>
      </c>
      <c r="M70" s="102"/>
      <c r="N70" s="102"/>
      <c r="O70" s="102"/>
      <c r="P70" s="102"/>
      <c r="Q70" s="307">
        <v>29077.84</v>
      </c>
      <c r="R70" s="308"/>
      <c r="S70" s="309"/>
    </row>
    <row r="71" spans="1:19" ht="25.5" customHeight="1" thickBot="1" x14ac:dyDescent="0.3">
      <c r="A71" s="19"/>
      <c r="B71" s="106" t="s">
        <v>444</v>
      </c>
      <c r="C71" s="107"/>
      <c r="D71" s="107"/>
      <c r="E71" s="107"/>
      <c r="F71" s="107"/>
      <c r="G71" s="307">
        <v>4272.7</v>
      </c>
      <c r="H71" s="308"/>
      <c r="I71" s="309"/>
      <c r="J71" s="61"/>
      <c r="K71" s="19"/>
      <c r="L71" s="106" t="s">
        <v>444</v>
      </c>
      <c r="M71" s="107"/>
      <c r="N71" s="107"/>
      <c r="O71" s="107"/>
      <c r="P71" s="107"/>
      <c r="Q71" s="307">
        <v>2417.11</v>
      </c>
      <c r="R71" s="308"/>
      <c r="S71" s="309"/>
    </row>
    <row r="72" spans="1:19" ht="28.5" customHeight="1" x14ac:dyDescent="0.25">
      <c r="A72" s="4"/>
      <c r="B72" s="195"/>
      <c r="C72" s="195"/>
      <c r="D72" s="195"/>
      <c r="E72" s="195"/>
      <c r="F72" s="195"/>
      <c r="G72" s="195"/>
      <c r="H72" s="195"/>
      <c r="I72" s="195"/>
      <c r="K72" s="4"/>
      <c r="L72" s="195"/>
      <c r="M72" s="195"/>
      <c r="N72" s="195"/>
      <c r="O72" s="195"/>
      <c r="P72" s="195"/>
      <c r="Q72" s="195"/>
      <c r="R72" s="195"/>
      <c r="S72" s="195"/>
    </row>
    <row r="73" spans="1:19" x14ac:dyDescent="0.25">
      <c r="E73" s="50"/>
      <c r="I73" s="5"/>
      <c r="O73" s="50"/>
      <c r="S73" s="5"/>
    </row>
    <row r="74" spans="1:19" ht="15.75" x14ac:dyDescent="0.25">
      <c r="A74" s="30"/>
      <c r="C74" s="30"/>
      <c r="K74" s="30"/>
      <c r="N74" s="30"/>
    </row>
    <row r="75" spans="1:19" x14ac:dyDescent="0.25">
      <c r="A75" s="3"/>
      <c r="B75" s="3"/>
      <c r="C75" s="3"/>
      <c r="D75" s="3"/>
      <c r="E75" s="4" t="s">
        <v>204</v>
      </c>
      <c r="F75" s="3"/>
      <c r="G75" s="3"/>
      <c r="H75" s="3"/>
      <c r="I75" s="3"/>
      <c r="K75" s="3"/>
      <c r="L75" s="3"/>
      <c r="M75" s="3"/>
      <c r="N75" s="3"/>
      <c r="O75" s="4" t="s">
        <v>204</v>
      </c>
      <c r="P75" s="3"/>
      <c r="Q75" s="3"/>
      <c r="R75" s="3"/>
      <c r="S75" s="3"/>
    </row>
    <row r="76" spans="1:19" x14ac:dyDescent="0.25">
      <c r="A76" s="3" t="s">
        <v>205</v>
      </c>
      <c r="B76" s="3"/>
      <c r="C76" s="3"/>
      <c r="D76" s="3" t="s">
        <v>277</v>
      </c>
      <c r="E76" s="3"/>
      <c r="F76" s="3"/>
      <c r="G76" s="3"/>
      <c r="H76" s="3"/>
      <c r="I76" s="3"/>
      <c r="K76" s="3" t="s">
        <v>205</v>
      </c>
      <c r="L76" s="3"/>
      <c r="M76" s="3"/>
      <c r="N76" s="3" t="s">
        <v>278</v>
      </c>
      <c r="O76" s="3"/>
      <c r="P76" s="3"/>
      <c r="Q76" s="3"/>
      <c r="R76" s="3"/>
      <c r="S76" s="3"/>
    </row>
    <row r="77" spans="1:19" x14ac:dyDescent="0.25">
      <c r="A77" s="3"/>
      <c r="B77" s="5" t="s">
        <v>440</v>
      </c>
      <c r="C77" s="3"/>
      <c r="D77" s="3"/>
      <c r="E77" s="3"/>
      <c r="F77" s="3"/>
      <c r="G77" s="3"/>
      <c r="H77" s="3"/>
      <c r="I77" s="3"/>
      <c r="J77" s="3"/>
      <c r="K77" s="3"/>
      <c r="L77" s="5" t="s">
        <v>440</v>
      </c>
      <c r="M77" s="3"/>
      <c r="N77" s="3"/>
      <c r="O77" s="3"/>
      <c r="P77" s="3"/>
      <c r="Q77" s="3"/>
      <c r="R77" s="3"/>
      <c r="S77" s="3"/>
    </row>
    <row r="78" spans="1:19" ht="15.75" thickBot="1" x14ac:dyDescent="0.3">
      <c r="A78" s="3"/>
      <c r="B78" s="5" t="s">
        <v>206</v>
      </c>
      <c r="C78" s="3"/>
      <c r="D78" s="3"/>
      <c r="E78" s="3"/>
      <c r="F78" s="3">
        <v>1077.0999999999999</v>
      </c>
      <c r="G78" s="3" t="s">
        <v>207</v>
      </c>
      <c r="H78" s="3"/>
      <c r="I78" s="3"/>
      <c r="J78" s="3"/>
      <c r="K78" s="3"/>
      <c r="L78" s="5" t="s">
        <v>206</v>
      </c>
      <c r="M78" s="3"/>
      <c r="N78" s="3"/>
      <c r="O78" s="3"/>
      <c r="P78" s="3">
        <v>688</v>
      </c>
      <c r="Q78" s="3" t="s">
        <v>207</v>
      </c>
      <c r="R78" s="3"/>
      <c r="S78" s="3"/>
    </row>
    <row r="79" spans="1:19" ht="15" customHeight="1" x14ac:dyDescent="0.25">
      <c r="A79" s="175" t="s">
        <v>209</v>
      </c>
      <c r="B79" s="177" t="s">
        <v>210</v>
      </c>
      <c r="C79" s="178"/>
      <c r="D79" s="178"/>
      <c r="E79" s="178"/>
      <c r="F79" s="178"/>
      <c r="G79" s="180" t="s">
        <v>442</v>
      </c>
      <c r="H79" s="181"/>
      <c r="I79" s="175" t="s">
        <v>212</v>
      </c>
      <c r="J79" s="31"/>
      <c r="K79" s="175" t="s">
        <v>209</v>
      </c>
      <c r="L79" s="177" t="s">
        <v>210</v>
      </c>
      <c r="M79" s="178"/>
      <c r="N79" s="178"/>
      <c r="O79" s="178"/>
      <c r="P79" s="178"/>
      <c r="Q79" s="180" t="s">
        <v>441</v>
      </c>
      <c r="R79" s="181"/>
      <c r="S79" s="175" t="s">
        <v>212</v>
      </c>
    </row>
    <row r="80" spans="1:19" ht="75" customHeight="1" thickBot="1" x14ac:dyDescent="0.3">
      <c r="A80" s="176"/>
      <c r="B80" s="179"/>
      <c r="C80" s="179"/>
      <c r="D80" s="179"/>
      <c r="E80" s="179"/>
      <c r="F80" s="179"/>
      <c r="G80" s="182"/>
      <c r="H80" s="183"/>
      <c r="I80" s="184"/>
      <c r="J80" s="32"/>
      <c r="K80" s="176"/>
      <c r="L80" s="179"/>
      <c r="M80" s="179"/>
      <c r="N80" s="179"/>
      <c r="O80" s="179"/>
      <c r="P80" s="179"/>
      <c r="Q80" s="182"/>
      <c r="R80" s="183"/>
      <c r="S80" s="184"/>
    </row>
    <row r="81" spans="1:19" ht="15" customHeight="1" x14ac:dyDescent="0.25">
      <c r="A81" s="185" t="s">
        <v>213</v>
      </c>
      <c r="B81" s="187" t="s">
        <v>354</v>
      </c>
      <c r="C81" s="188"/>
      <c r="D81" s="188"/>
      <c r="E81" s="188"/>
      <c r="F81" s="188"/>
      <c r="G81" s="190">
        <v>78683.210000000006</v>
      </c>
      <c r="H81" s="191"/>
      <c r="I81" s="192"/>
      <c r="J81" s="33"/>
      <c r="K81" s="185" t="s">
        <v>213</v>
      </c>
      <c r="L81" s="187" t="s">
        <v>354</v>
      </c>
      <c r="M81" s="188"/>
      <c r="N81" s="188"/>
      <c r="O81" s="188"/>
      <c r="P81" s="188"/>
      <c r="Q81" s="190">
        <v>-1497.92</v>
      </c>
      <c r="R81" s="191"/>
      <c r="S81" s="192"/>
    </row>
    <row r="82" spans="1:19" ht="5.25" customHeight="1" thickBot="1" x14ac:dyDescent="0.3">
      <c r="A82" s="186"/>
      <c r="B82" s="189"/>
      <c r="C82" s="189"/>
      <c r="D82" s="189"/>
      <c r="E82" s="189"/>
      <c r="F82" s="189"/>
      <c r="G82" s="193"/>
      <c r="H82" s="194"/>
      <c r="I82" s="128"/>
      <c r="J82" s="34"/>
      <c r="K82" s="186"/>
      <c r="L82" s="189"/>
      <c r="M82" s="189"/>
      <c r="N82" s="189"/>
      <c r="O82" s="189"/>
      <c r="P82" s="189"/>
      <c r="Q82" s="193"/>
      <c r="R82" s="194"/>
      <c r="S82" s="128"/>
    </row>
    <row r="83" spans="1:19" ht="15" customHeight="1" x14ac:dyDescent="0.25">
      <c r="A83" s="6"/>
      <c r="B83" s="161" t="s">
        <v>214</v>
      </c>
      <c r="C83" s="162"/>
      <c r="D83" s="162"/>
      <c r="E83" s="162"/>
      <c r="F83" s="162"/>
      <c r="G83" s="163">
        <f>1.3*12*F78</f>
        <v>16802.759999999998</v>
      </c>
      <c r="H83" s="164"/>
      <c r="I83" s="169" t="s">
        <v>215</v>
      </c>
      <c r="J83" s="35"/>
      <c r="K83" s="6"/>
      <c r="L83" s="161" t="s">
        <v>214</v>
      </c>
      <c r="M83" s="162"/>
      <c r="N83" s="162"/>
      <c r="O83" s="162"/>
      <c r="P83" s="162"/>
      <c r="Q83" s="163">
        <f>1.35*12*P78</f>
        <v>11145.600000000002</v>
      </c>
      <c r="R83" s="164"/>
      <c r="S83" s="169" t="s">
        <v>215</v>
      </c>
    </row>
    <row r="84" spans="1:19" ht="30" customHeight="1" thickBot="1" x14ac:dyDescent="0.3">
      <c r="A84" s="7"/>
      <c r="B84" s="171" t="s">
        <v>216</v>
      </c>
      <c r="C84" s="172"/>
      <c r="D84" s="172"/>
      <c r="E84" s="172"/>
      <c r="F84" s="172"/>
      <c r="G84" s="165"/>
      <c r="H84" s="166"/>
      <c r="I84" s="170"/>
      <c r="J84" s="36"/>
      <c r="K84" s="7"/>
      <c r="L84" s="171" t="s">
        <v>216</v>
      </c>
      <c r="M84" s="172"/>
      <c r="N84" s="172"/>
      <c r="O84" s="172"/>
      <c r="P84" s="172"/>
      <c r="Q84" s="165"/>
      <c r="R84" s="166"/>
      <c r="S84" s="170"/>
    </row>
    <row r="85" spans="1:19" ht="13.5" customHeight="1" thickBot="1" x14ac:dyDescent="0.3">
      <c r="A85" s="7"/>
      <c r="B85" s="173" t="s">
        <v>217</v>
      </c>
      <c r="C85" s="174"/>
      <c r="D85" s="174"/>
      <c r="E85" s="174"/>
      <c r="F85" s="174"/>
      <c r="G85" s="167"/>
      <c r="H85" s="168"/>
      <c r="I85" s="8" t="s">
        <v>218</v>
      </c>
      <c r="J85" s="36"/>
      <c r="K85" s="7"/>
      <c r="L85" s="173" t="s">
        <v>217</v>
      </c>
      <c r="M85" s="174"/>
      <c r="N85" s="174"/>
      <c r="O85" s="174"/>
      <c r="P85" s="174"/>
      <c r="Q85" s="167"/>
      <c r="R85" s="168"/>
      <c r="S85" s="8" t="s">
        <v>218</v>
      </c>
    </row>
    <row r="86" spans="1:19" ht="19.5" customHeight="1" thickBot="1" x14ac:dyDescent="0.3">
      <c r="A86" s="7"/>
      <c r="B86" s="141" t="s">
        <v>219</v>
      </c>
      <c r="C86" s="142"/>
      <c r="D86" s="142"/>
      <c r="E86" s="142"/>
      <c r="F86" s="142"/>
      <c r="G86" s="143">
        <v>0</v>
      </c>
      <c r="H86" s="144"/>
      <c r="I86" s="8" t="s">
        <v>220</v>
      </c>
      <c r="J86" s="37"/>
      <c r="K86" s="7"/>
      <c r="L86" s="141" t="s">
        <v>219</v>
      </c>
      <c r="M86" s="142"/>
      <c r="N86" s="142"/>
      <c r="O86" s="142"/>
      <c r="P86" s="142"/>
      <c r="Q86" s="143">
        <v>0</v>
      </c>
      <c r="R86" s="144"/>
      <c r="S86" s="8" t="s">
        <v>220</v>
      </c>
    </row>
    <row r="87" spans="1:19" ht="19.5" customHeight="1" thickBot="1" x14ac:dyDescent="0.3">
      <c r="A87" s="7"/>
      <c r="B87" s="141" t="s">
        <v>221</v>
      </c>
      <c r="C87" s="142"/>
      <c r="D87" s="142"/>
      <c r="E87" s="142"/>
      <c r="F87" s="142"/>
      <c r="G87" s="143">
        <f>0.474*12*F78</f>
        <v>6126.5447999999988</v>
      </c>
      <c r="H87" s="144"/>
      <c r="I87" s="8" t="s">
        <v>222</v>
      </c>
      <c r="J87" s="38"/>
      <c r="K87" s="7"/>
      <c r="L87" s="141" t="s">
        <v>221</v>
      </c>
      <c r="M87" s="142"/>
      <c r="N87" s="142"/>
      <c r="O87" s="142"/>
      <c r="P87" s="142"/>
      <c r="Q87" s="143">
        <f>0.474*12*P78</f>
        <v>3913.3439999999996</v>
      </c>
      <c r="R87" s="144"/>
      <c r="S87" s="8" t="s">
        <v>222</v>
      </c>
    </row>
    <row r="88" spans="1:19" ht="13.5" customHeight="1" x14ac:dyDescent="0.25">
      <c r="A88" s="9"/>
      <c r="B88" s="145" t="s">
        <v>223</v>
      </c>
      <c r="C88" s="146"/>
      <c r="D88" s="146"/>
      <c r="E88" s="146"/>
      <c r="F88" s="146"/>
      <c r="G88" s="86">
        <f>1.26*12*F78</f>
        <v>16285.752</v>
      </c>
      <c r="H88" s="147"/>
      <c r="I88" s="152" t="s">
        <v>224</v>
      </c>
      <c r="J88" s="38"/>
      <c r="K88" s="9"/>
      <c r="L88" s="145" t="s">
        <v>223</v>
      </c>
      <c r="M88" s="146"/>
      <c r="N88" s="146"/>
      <c r="O88" s="146"/>
      <c r="P88" s="146"/>
      <c r="Q88" s="86">
        <f>1.95*12*P78</f>
        <v>16099.199999999999</v>
      </c>
      <c r="R88" s="147"/>
      <c r="S88" s="152" t="s">
        <v>224</v>
      </c>
    </row>
    <row r="89" spans="1:19" ht="13.5" customHeight="1" x14ac:dyDescent="0.25">
      <c r="A89" s="10"/>
      <c r="B89" s="155" t="s">
        <v>226</v>
      </c>
      <c r="C89" s="156"/>
      <c r="D89" s="156"/>
      <c r="E89" s="156"/>
      <c r="F89" s="156"/>
      <c r="G89" s="148"/>
      <c r="H89" s="149"/>
      <c r="I89" s="153"/>
      <c r="J89" s="39"/>
      <c r="K89" s="10"/>
      <c r="L89" s="155" t="s">
        <v>226</v>
      </c>
      <c r="M89" s="156"/>
      <c r="N89" s="156"/>
      <c r="O89" s="156"/>
      <c r="P89" s="156"/>
      <c r="Q89" s="148"/>
      <c r="R89" s="149"/>
      <c r="S89" s="153"/>
    </row>
    <row r="90" spans="1:19" ht="13.5" customHeight="1" thickBot="1" x14ac:dyDescent="0.3">
      <c r="A90" s="10"/>
      <c r="B90" s="157" t="s">
        <v>227</v>
      </c>
      <c r="C90" s="158"/>
      <c r="D90" s="158"/>
      <c r="E90" s="158"/>
      <c r="F90" s="158"/>
      <c r="G90" s="148"/>
      <c r="H90" s="149"/>
      <c r="I90" s="154"/>
      <c r="J90" s="36"/>
      <c r="K90" s="10"/>
      <c r="L90" s="157" t="s">
        <v>227</v>
      </c>
      <c r="M90" s="158"/>
      <c r="N90" s="158"/>
      <c r="O90" s="158"/>
      <c r="P90" s="158"/>
      <c r="Q90" s="148"/>
      <c r="R90" s="149"/>
      <c r="S90" s="154"/>
    </row>
    <row r="91" spans="1:19" ht="13.5" customHeight="1" thickBot="1" x14ac:dyDescent="0.3">
      <c r="A91" s="10"/>
      <c r="B91" s="159" t="s">
        <v>228</v>
      </c>
      <c r="C91" s="160"/>
      <c r="D91" s="160"/>
      <c r="E91" s="160"/>
      <c r="F91" s="160"/>
      <c r="G91" s="150"/>
      <c r="H91" s="151"/>
      <c r="I91" s="11" t="s">
        <v>229</v>
      </c>
      <c r="J91" s="36"/>
      <c r="K91" s="10"/>
      <c r="L91" s="159" t="s">
        <v>228</v>
      </c>
      <c r="M91" s="160"/>
      <c r="N91" s="160"/>
      <c r="O91" s="160"/>
      <c r="P91" s="160"/>
      <c r="Q91" s="150"/>
      <c r="R91" s="151"/>
      <c r="S91" s="11" t="s">
        <v>229</v>
      </c>
    </row>
    <row r="92" spans="1:19" ht="13.5" customHeight="1" x14ac:dyDescent="0.25">
      <c r="A92" s="12"/>
      <c r="B92" s="125" t="s">
        <v>230</v>
      </c>
      <c r="C92" s="126"/>
      <c r="D92" s="126"/>
      <c r="E92" s="126"/>
      <c r="F92" s="126"/>
      <c r="G92" s="86"/>
      <c r="H92" s="87"/>
      <c r="I92" s="129" t="s">
        <v>220</v>
      </c>
      <c r="J92" s="36"/>
      <c r="K92" s="12"/>
      <c r="L92" s="125" t="s">
        <v>230</v>
      </c>
      <c r="M92" s="126"/>
      <c r="N92" s="126"/>
      <c r="O92" s="126"/>
      <c r="P92" s="126"/>
      <c r="Q92" s="86"/>
      <c r="R92" s="87"/>
      <c r="S92" s="129" t="s">
        <v>220</v>
      </c>
    </row>
    <row r="93" spans="1:19" ht="13.5" customHeight="1" thickBot="1" x14ac:dyDescent="0.3">
      <c r="A93" s="7"/>
      <c r="B93" s="131" t="s">
        <v>231</v>
      </c>
      <c r="C93" s="132"/>
      <c r="D93" s="132"/>
      <c r="E93" s="132"/>
      <c r="F93" s="132"/>
      <c r="G93" s="127"/>
      <c r="H93" s="128"/>
      <c r="I93" s="130"/>
      <c r="J93" s="36"/>
      <c r="K93" s="7"/>
      <c r="L93" s="131" t="s">
        <v>231</v>
      </c>
      <c r="M93" s="132"/>
      <c r="N93" s="132"/>
      <c r="O93" s="132"/>
      <c r="P93" s="132"/>
      <c r="Q93" s="127"/>
      <c r="R93" s="128"/>
      <c r="S93" s="130"/>
    </row>
    <row r="94" spans="1:19" ht="13.5" customHeight="1" thickBot="1" x14ac:dyDescent="0.3">
      <c r="A94" s="13"/>
      <c r="B94" s="133" t="s">
        <v>232</v>
      </c>
      <c r="C94" s="134"/>
      <c r="D94" s="134"/>
      <c r="E94" s="134"/>
      <c r="F94" s="134"/>
      <c r="G94" s="135"/>
      <c r="H94" s="136"/>
      <c r="I94" s="14"/>
      <c r="J94" s="40"/>
      <c r="K94" s="13"/>
      <c r="L94" s="133" t="s">
        <v>232</v>
      </c>
      <c r="M94" s="134"/>
      <c r="N94" s="134"/>
      <c r="O94" s="134"/>
      <c r="P94" s="134"/>
      <c r="Q94" s="135"/>
      <c r="R94" s="136"/>
      <c r="S94" s="14"/>
    </row>
    <row r="95" spans="1:19" ht="29.1" customHeight="1" thickBot="1" x14ac:dyDescent="0.3">
      <c r="A95" s="13"/>
      <c r="B95" s="84" t="s">
        <v>233</v>
      </c>
      <c r="C95" s="85"/>
      <c r="D95" s="85"/>
      <c r="E95" s="85"/>
      <c r="F95" s="85"/>
      <c r="G95" s="86">
        <f>0.9*12*F78</f>
        <v>11632.68</v>
      </c>
      <c r="H95" s="87"/>
      <c r="I95" s="299" t="s">
        <v>494</v>
      </c>
      <c r="J95" s="41"/>
      <c r="K95" s="13"/>
      <c r="L95" s="84" t="s">
        <v>233</v>
      </c>
      <c r="M95" s="85"/>
      <c r="N95" s="85"/>
      <c r="O95" s="85"/>
      <c r="P95" s="85"/>
      <c r="Q95" s="86">
        <f>1.5*12*P78</f>
        <v>12384</v>
      </c>
      <c r="R95" s="87"/>
      <c r="S95" s="92" t="s">
        <v>495</v>
      </c>
    </row>
    <row r="96" spans="1:19" ht="23.45" customHeight="1" x14ac:dyDescent="0.25">
      <c r="A96" s="118"/>
      <c r="B96" s="121" t="s">
        <v>226</v>
      </c>
      <c r="C96" s="122"/>
      <c r="D96" s="122"/>
      <c r="E96" s="122"/>
      <c r="F96" s="122"/>
      <c r="G96" s="88"/>
      <c r="H96" s="89"/>
      <c r="I96" s="300"/>
      <c r="J96" s="41"/>
      <c r="K96" s="118"/>
      <c r="L96" s="121" t="s">
        <v>226</v>
      </c>
      <c r="M96" s="122"/>
      <c r="N96" s="122"/>
      <c r="O96" s="122"/>
      <c r="P96" s="122"/>
      <c r="Q96" s="88"/>
      <c r="R96" s="89"/>
      <c r="S96" s="93"/>
    </row>
    <row r="97" spans="1:19" ht="18.600000000000001" customHeight="1" x14ac:dyDescent="0.25">
      <c r="A97" s="119"/>
      <c r="B97" s="121" t="s">
        <v>227</v>
      </c>
      <c r="C97" s="122"/>
      <c r="D97" s="122"/>
      <c r="E97" s="122"/>
      <c r="F97" s="122"/>
      <c r="G97" s="88"/>
      <c r="H97" s="89"/>
      <c r="I97" s="300"/>
      <c r="J97" s="41"/>
      <c r="K97" s="119"/>
      <c r="L97" s="121" t="s">
        <v>227</v>
      </c>
      <c r="M97" s="122"/>
      <c r="N97" s="122"/>
      <c r="O97" s="122"/>
      <c r="P97" s="122"/>
      <c r="Q97" s="88"/>
      <c r="R97" s="89"/>
      <c r="S97" s="93"/>
    </row>
    <row r="98" spans="1:19" ht="23.45" customHeight="1" x14ac:dyDescent="0.25">
      <c r="A98" s="119"/>
      <c r="B98" s="121" t="s">
        <v>228</v>
      </c>
      <c r="C98" s="122"/>
      <c r="D98" s="122"/>
      <c r="E98" s="122"/>
      <c r="F98" s="122"/>
      <c r="G98" s="88"/>
      <c r="H98" s="89"/>
      <c r="I98" s="300"/>
      <c r="J98" s="42"/>
      <c r="K98" s="119"/>
      <c r="L98" s="121" t="s">
        <v>228</v>
      </c>
      <c r="M98" s="122"/>
      <c r="N98" s="122"/>
      <c r="O98" s="122"/>
      <c r="P98" s="122"/>
      <c r="Q98" s="88"/>
      <c r="R98" s="89"/>
      <c r="S98" s="93"/>
    </row>
    <row r="99" spans="1:19" ht="53.25" customHeight="1" thickBot="1" x14ac:dyDescent="0.3">
      <c r="A99" s="120"/>
      <c r="B99" s="123" t="s">
        <v>234</v>
      </c>
      <c r="C99" s="124"/>
      <c r="D99" s="124"/>
      <c r="E99" s="124"/>
      <c r="F99" s="124"/>
      <c r="G99" s="90"/>
      <c r="H99" s="91"/>
      <c r="I99" s="301"/>
      <c r="J99" s="43"/>
      <c r="K99" s="120"/>
      <c r="L99" s="123" t="s">
        <v>234</v>
      </c>
      <c r="M99" s="124"/>
      <c r="N99" s="124"/>
      <c r="O99" s="124"/>
      <c r="P99" s="124"/>
      <c r="Q99" s="90"/>
      <c r="R99" s="91"/>
      <c r="S99" s="94"/>
    </row>
    <row r="100" spans="1:19" ht="19.5" customHeight="1" thickBot="1" x14ac:dyDescent="0.3">
      <c r="A100" s="15"/>
      <c r="B100" s="137" t="s">
        <v>248</v>
      </c>
      <c r="C100" s="138"/>
      <c r="D100" s="138"/>
      <c r="E100" s="138"/>
      <c r="F100" s="138"/>
      <c r="G100" s="139"/>
      <c r="H100" s="140"/>
      <c r="I100" s="16"/>
      <c r="J100" s="44"/>
      <c r="K100" s="15"/>
      <c r="L100" s="137" t="s">
        <v>248</v>
      </c>
      <c r="M100" s="138"/>
      <c r="N100" s="138"/>
      <c r="O100" s="138"/>
      <c r="P100" s="138"/>
      <c r="Q100" s="139"/>
      <c r="R100" s="140"/>
      <c r="S100" s="16"/>
    </row>
    <row r="101" spans="1:19" ht="30" customHeight="1" thickBot="1" x14ac:dyDescent="0.3">
      <c r="A101" s="15"/>
      <c r="B101" s="137" t="s">
        <v>235</v>
      </c>
      <c r="C101" s="138"/>
      <c r="D101" s="138"/>
      <c r="E101" s="138"/>
      <c r="F101" s="138"/>
      <c r="G101" s="139"/>
      <c r="H101" s="140"/>
      <c r="I101" s="16"/>
      <c r="J101" s="40"/>
      <c r="K101" s="15"/>
      <c r="L101" s="137" t="s">
        <v>235</v>
      </c>
      <c r="M101" s="138"/>
      <c r="N101" s="138"/>
      <c r="O101" s="138"/>
      <c r="P101" s="138"/>
      <c r="Q101" s="139"/>
      <c r="R101" s="140"/>
      <c r="S101" s="16"/>
    </row>
    <row r="102" spans="1:19" ht="27.75" customHeight="1" thickBot="1" x14ac:dyDescent="0.3">
      <c r="A102" s="17"/>
      <c r="B102" s="78" t="s">
        <v>237</v>
      </c>
      <c r="C102" s="79"/>
      <c r="D102" s="79"/>
      <c r="E102" s="79"/>
      <c r="F102" s="79"/>
      <c r="G102" s="86">
        <v>7955</v>
      </c>
      <c r="H102" s="87"/>
      <c r="I102" s="108" t="s">
        <v>229</v>
      </c>
      <c r="J102" s="27"/>
      <c r="K102" s="17"/>
      <c r="L102" s="78" t="s">
        <v>237</v>
      </c>
      <c r="M102" s="79"/>
      <c r="N102" s="79"/>
      <c r="O102" s="79"/>
      <c r="P102" s="79"/>
      <c r="Q102" s="86">
        <v>7955</v>
      </c>
      <c r="R102" s="87"/>
      <c r="S102" s="108" t="s">
        <v>229</v>
      </c>
    </row>
    <row r="103" spans="1:19" ht="15" customHeight="1" thickBot="1" x14ac:dyDescent="0.3">
      <c r="A103" s="18"/>
      <c r="B103" s="110" t="s">
        <v>238</v>
      </c>
      <c r="C103" s="111"/>
      <c r="D103" s="111"/>
      <c r="E103" s="111"/>
      <c r="F103" s="111"/>
      <c r="G103" s="90"/>
      <c r="H103" s="91"/>
      <c r="I103" s="109"/>
      <c r="J103" s="45"/>
      <c r="K103" s="18"/>
      <c r="L103" s="110" t="s">
        <v>238</v>
      </c>
      <c r="M103" s="111"/>
      <c r="N103" s="111"/>
      <c r="O103" s="111"/>
      <c r="P103" s="111"/>
      <c r="Q103" s="90"/>
      <c r="R103" s="91"/>
      <c r="S103" s="109"/>
    </row>
    <row r="104" spans="1:19" ht="24.75" customHeight="1" thickBot="1" x14ac:dyDescent="0.3">
      <c r="A104" s="19"/>
      <c r="B104" s="112" t="s">
        <v>239</v>
      </c>
      <c r="C104" s="113"/>
      <c r="D104" s="113"/>
      <c r="E104" s="113"/>
      <c r="F104" s="113"/>
      <c r="G104" s="114">
        <f>SUM(G83:H103)</f>
        <v>58802.736799999999</v>
      </c>
      <c r="H104" s="115"/>
      <c r="I104" s="20"/>
      <c r="J104" s="46"/>
      <c r="K104" s="19"/>
      <c r="L104" s="112" t="s">
        <v>239</v>
      </c>
      <c r="M104" s="113"/>
      <c r="N104" s="113"/>
      <c r="O104" s="113"/>
      <c r="P104" s="113"/>
      <c r="Q104" s="114">
        <f>SUM(Q83:R103)</f>
        <v>51497.144</v>
      </c>
      <c r="R104" s="115"/>
      <c r="S104" s="20"/>
    </row>
    <row r="105" spans="1:19" ht="24.75" customHeight="1" thickBot="1" x14ac:dyDescent="0.3">
      <c r="A105" s="21"/>
      <c r="B105" s="101" t="s">
        <v>240</v>
      </c>
      <c r="C105" s="102"/>
      <c r="D105" s="102"/>
      <c r="E105" s="102"/>
      <c r="F105" s="102"/>
      <c r="G105" s="116">
        <f>G104*1.2</f>
        <v>70563.284159999996</v>
      </c>
      <c r="H105" s="117"/>
      <c r="I105" s="22"/>
      <c r="J105" s="47"/>
      <c r="K105" s="21"/>
      <c r="L105" s="101" t="s">
        <v>240</v>
      </c>
      <c r="M105" s="102"/>
      <c r="N105" s="102"/>
      <c r="O105" s="102"/>
      <c r="P105" s="102"/>
      <c r="Q105" s="116">
        <f>Q104*1.2</f>
        <v>61796.572799999994</v>
      </c>
      <c r="R105" s="117"/>
      <c r="S105" s="22"/>
    </row>
    <row r="106" spans="1:19" ht="24.75" customHeight="1" thickBot="1" x14ac:dyDescent="0.3">
      <c r="A106" s="24"/>
      <c r="B106" s="96" t="s">
        <v>443</v>
      </c>
      <c r="C106" s="97"/>
      <c r="D106" s="97"/>
      <c r="E106" s="97"/>
      <c r="F106" s="97"/>
      <c r="G106" s="311">
        <v>76000.08</v>
      </c>
      <c r="H106" s="312"/>
      <c r="I106" s="313"/>
      <c r="J106" s="47"/>
      <c r="K106" s="24"/>
      <c r="L106" s="96" t="s">
        <v>443</v>
      </c>
      <c r="M106" s="97"/>
      <c r="N106" s="97"/>
      <c r="O106" s="97"/>
      <c r="P106" s="97"/>
      <c r="Q106" s="311">
        <v>54710.67</v>
      </c>
      <c r="R106" s="312"/>
      <c r="S106" s="313"/>
    </row>
    <row r="107" spans="1:19" ht="24.75" customHeight="1" thickBot="1" x14ac:dyDescent="0.3">
      <c r="A107" s="19"/>
      <c r="B107" s="101" t="s">
        <v>242</v>
      </c>
      <c r="C107" s="102"/>
      <c r="D107" s="102"/>
      <c r="E107" s="102"/>
      <c r="F107" s="102"/>
      <c r="G107" s="307">
        <v>82497.06</v>
      </c>
      <c r="H107" s="308"/>
      <c r="I107" s="309"/>
      <c r="J107" s="47"/>
      <c r="K107" s="19"/>
      <c r="L107" s="101" t="s">
        <v>242</v>
      </c>
      <c r="M107" s="102"/>
      <c r="N107" s="102"/>
      <c r="O107" s="102"/>
      <c r="P107" s="102"/>
      <c r="Q107" s="307">
        <v>52771.15</v>
      </c>
      <c r="R107" s="308"/>
      <c r="S107" s="309"/>
    </row>
    <row r="108" spans="1:19" ht="24.75" customHeight="1" thickBot="1" x14ac:dyDescent="0.3">
      <c r="A108" s="19"/>
      <c r="B108" s="106" t="s">
        <v>444</v>
      </c>
      <c r="C108" s="107"/>
      <c r="D108" s="107"/>
      <c r="E108" s="107"/>
      <c r="F108" s="107"/>
      <c r="G108" s="307">
        <v>72186.259999999995</v>
      </c>
      <c r="H108" s="308"/>
      <c r="I108" s="309"/>
      <c r="J108" s="47"/>
      <c r="K108" s="19"/>
      <c r="L108" s="106" t="s">
        <v>444</v>
      </c>
      <c r="M108" s="107"/>
      <c r="N108" s="107"/>
      <c r="O108" s="107"/>
      <c r="P108" s="107"/>
      <c r="Q108" s="307">
        <v>441.6</v>
      </c>
      <c r="R108" s="308"/>
      <c r="S108" s="309"/>
    </row>
    <row r="109" spans="1:19" ht="42" customHeight="1" x14ac:dyDescent="0.25">
      <c r="A109" s="4"/>
      <c r="B109" s="310" t="s">
        <v>493</v>
      </c>
      <c r="C109" s="310"/>
      <c r="D109" s="310"/>
      <c r="E109" s="310"/>
      <c r="F109" s="310"/>
      <c r="G109" s="310"/>
      <c r="H109" s="310"/>
      <c r="I109" s="310"/>
      <c r="K109" s="4"/>
      <c r="L109" s="310"/>
      <c r="M109" s="310"/>
      <c r="N109" s="310"/>
      <c r="O109" s="310"/>
      <c r="P109" s="310"/>
      <c r="Q109" s="310"/>
      <c r="R109" s="310"/>
      <c r="S109" s="310"/>
    </row>
    <row r="110" spans="1:19" ht="15.75" x14ac:dyDescent="0.25">
      <c r="B110" s="30"/>
      <c r="K110" s="30"/>
      <c r="L110" s="30"/>
    </row>
    <row r="111" spans="1:19" ht="15.75" x14ac:dyDescent="0.25">
      <c r="B111" s="30"/>
      <c r="K111" s="30"/>
      <c r="L111" s="30"/>
    </row>
    <row r="112" spans="1:19" x14ac:dyDescent="0.25">
      <c r="A112" s="3"/>
      <c r="B112" s="3"/>
      <c r="C112" s="3"/>
      <c r="D112" s="3"/>
      <c r="E112" s="4" t="s">
        <v>204</v>
      </c>
      <c r="F112" s="3"/>
      <c r="G112" s="3"/>
      <c r="H112" s="3"/>
      <c r="I112" s="3"/>
      <c r="K112" s="3"/>
      <c r="L112" s="3"/>
      <c r="M112" s="3"/>
      <c r="N112" s="3"/>
      <c r="O112" s="4" t="s">
        <v>204</v>
      </c>
      <c r="P112" s="3"/>
      <c r="Q112" s="3"/>
      <c r="R112" s="3"/>
      <c r="S112" s="3"/>
    </row>
    <row r="113" spans="1:19" x14ac:dyDescent="0.25">
      <c r="A113" s="3" t="s">
        <v>205</v>
      </c>
      <c r="B113" s="3"/>
      <c r="C113" s="3"/>
      <c r="D113" s="3" t="s">
        <v>279</v>
      </c>
      <c r="E113" s="3"/>
      <c r="F113" s="3"/>
      <c r="G113" s="3"/>
      <c r="H113" s="3"/>
      <c r="I113" s="3"/>
      <c r="K113" s="3" t="s">
        <v>205</v>
      </c>
      <c r="L113" s="3"/>
      <c r="M113" s="3"/>
      <c r="N113" s="3" t="s">
        <v>280</v>
      </c>
      <c r="O113" s="3"/>
      <c r="P113" s="3"/>
      <c r="Q113" s="3"/>
      <c r="R113" s="3"/>
      <c r="S113" s="3"/>
    </row>
    <row r="114" spans="1:19" x14ac:dyDescent="0.25">
      <c r="A114" s="3"/>
      <c r="B114" s="5" t="s">
        <v>440</v>
      </c>
      <c r="C114" s="3"/>
      <c r="D114" s="3"/>
      <c r="E114" s="3"/>
      <c r="F114" s="3"/>
      <c r="G114" s="3"/>
      <c r="H114" s="3"/>
      <c r="I114" s="3"/>
      <c r="K114" s="3"/>
      <c r="L114" s="5" t="s">
        <v>440</v>
      </c>
      <c r="M114" s="3"/>
      <c r="N114" s="3"/>
      <c r="O114" s="3"/>
      <c r="P114" s="3"/>
      <c r="Q114" s="3"/>
      <c r="R114" s="3"/>
      <c r="S114" s="3"/>
    </row>
    <row r="115" spans="1:19" ht="15.75" thickBot="1" x14ac:dyDescent="0.3">
      <c r="A115" s="3"/>
      <c r="B115" s="5" t="s">
        <v>206</v>
      </c>
      <c r="C115" s="3"/>
      <c r="D115" s="3"/>
      <c r="E115" s="3"/>
      <c r="F115" s="3">
        <v>604.1</v>
      </c>
      <c r="G115" s="3" t="s">
        <v>207</v>
      </c>
      <c r="H115" s="3"/>
      <c r="I115" s="3"/>
      <c r="J115" s="3"/>
      <c r="K115" s="3"/>
      <c r="L115" s="5" t="s">
        <v>206</v>
      </c>
      <c r="M115" s="3"/>
      <c r="N115" s="3"/>
      <c r="O115" s="3"/>
      <c r="P115" s="3">
        <v>929.3</v>
      </c>
      <c r="Q115" s="3" t="s">
        <v>207</v>
      </c>
      <c r="R115" s="3"/>
      <c r="S115" s="3"/>
    </row>
    <row r="116" spans="1:19" ht="15.75" customHeight="1" thickBot="1" x14ac:dyDescent="0.3">
      <c r="A116" s="175" t="s">
        <v>209</v>
      </c>
      <c r="B116" s="177" t="s">
        <v>210</v>
      </c>
      <c r="C116" s="178"/>
      <c r="D116" s="178"/>
      <c r="E116" s="178"/>
      <c r="F116" s="178"/>
      <c r="G116" s="180" t="s">
        <v>441</v>
      </c>
      <c r="H116" s="181"/>
      <c r="I116" s="175" t="s">
        <v>212</v>
      </c>
      <c r="J116" s="3"/>
      <c r="K116" s="175" t="s">
        <v>209</v>
      </c>
      <c r="L116" s="177" t="s">
        <v>210</v>
      </c>
      <c r="M116" s="178"/>
      <c r="N116" s="178"/>
      <c r="O116" s="178"/>
      <c r="P116" s="178"/>
      <c r="Q116" s="180" t="s">
        <v>441</v>
      </c>
      <c r="R116" s="181"/>
      <c r="S116" s="175" t="s">
        <v>212</v>
      </c>
    </row>
    <row r="117" spans="1:19" ht="68.25" customHeight="1" thickBot="1" x14ac:dyDescent="0.3">
      <c r="A117" s="176"/>
      <c r="B117" s="179"/>
      <c r="C117" s="179"/>
      <c r="D117" s="179"/>
      <c r="E117" s="179"/>
      <c r="F117" s="179"/>
      <c r="G117" s="182"/>
      <c r="H117" s="183"/>
      <c r="I117" s="184"/>
      <c r="J117" s="31"/>
      <c r="K117" s="176"/>
      <c r="L117" s="179"/>
      <c r="M117" s="179"/>
      <c r="N117" s="179"/>
      <c r="O117" s="179"/>
      <c r="P117" s="179"/>
      <c r="Q117" s="182"/>
      <c r="R117" s="183"/>
      <c r="S117" s="184"/>
    </row>
    <row r="118" spans="1:19" ht="21.75" customHeight="1" thickBot="1" x14ac:dyDescent="0.3">
      <c r="A118" s="185" t="s">
        <v>213</v>
      </c>
      <c r="B118" s="187" t="s">
        <v>354</v>
      </c>
      <c r="C118" s="188"/>
      <c r="D118" s="188"/>
      <c r="E118" s="188"/>
      <c r="F118" s="188"/>
      <c r="G118" s="190">
        <v>14436.1</v>
      </c>
      <c r="H118" s="191"/>
      <c r="I118" s="192"/>
      <c r="J118" s="32"/>
      <c r="K118" s="185" t="s">
        <v>213</v>
      </c>
      <c r="L118" s="187" t="s">
        <v>354</v>
      </c>
      <c r="M118" s="188"/>
      <c r="N118" s="188"/>
      <c r="O118" s="188"/>
      <c r="P118" s="188"/>
      <c r="Q118" s="190">
        <v>6298.33</v>
      </c>
      <c r="R118" s="191"/>
      <c r="S118" s="192"/>
    </row>
    <row r="119" spans="1:19" ht="15.75" hidden="1" customHeight="1" x14ac:dyDescent="0.25">
      <c r="A119" s="186"/>
      <c r="B119" s="189"/>
      <c r="C119" s="189"/>
      <c r="D119" s="189"/>
      <c r="E119" s="189"/>
      <c r="F119" s="189"/>
      <c r="G119" s="193"/>
      <c r="H119" s="194"/>
      <c r="I119" s="128"/>
      <c r="J119" s="33"/>
      <c r="K119" s="186"/>
      <c r="L119" s="189"/>
      <c r="M119" s="189"/>
      <c r="N119" s="189"/>
      <c r="O119" s="189"/>
      <c r="P119" s="189"/>
      <c r="Q119" s="193"/>
      <c r="R119" s="194"/>
      <c r="S119" s="128"/>
    </row>
    <row r="120" spans="1:19" ht="16.5" customHeight="1" x14ac:dyDescent="0.25">
      <c r="A120" s="6"/>
      <c r="B120" s="161" t="s">
        <v>214</v>
      </c>
      <c r="C120" s="162"/>
      <c r="D120" s="162"/>
      <c r="E120" s="162"/>
      <c r="F120" s="162"/>
      <c r="G120" s="163">
        <f>1.52*12*F115</f>
        <v>11018.784000000001</v>
      </c>
      <c r="H120" s="164"/>
      <c r="I120" s="169" t="s">
        <v>215</v>
      </c>
      <c r="J120" s="36"/>
      <c r="K120" s="6"/>
      <c r="L120" s="161" t="s">
        <v>214</v>
      </c>
      <c r="M120" s="162"/>
      <c r="N120" s="162"/>
      <c r="O120" s="162"/>
      <c r="P120" s="162"/>
      <c r="Q120" s="163">
        <f>1.29*12*P115</f>
        <v>14385.564</v>
      </c>
      <c r="R120" s="164"/>
      <c r="S120" s="169" t="s">
        <v>215</v>
      </c>
    </row>
    <row r="121" spans="1:19" ht="30" customHeight="1" thickBot="1" x14ac:dyDescent="0.3">
      <c r="A121" s="7"/>
      <c r="B121" s="171" t="s">
        <v>216</v>
      </c>
      <c r="C121" s="172"/>
      <c r="D121" s="172"/>
      <c r="E121" s="172"/>
      <c r="F121" s="172"/>
      <c r="G121" s="165"/>
      <c r="H121" s="166"/>
      <c r="I121" s="170"/>
      <c r="J121" s="35"/>
      <c r="K121" s="7"/>
      <c r="L121" s="171" t="s">
        <v>216</v>
      </c>
      <c r="M121" s="172"/>
      <c r="N121" s="172"/>
      <c r="O121" s="172"/>
      <c r="P121" s="172"/>
      <c r="Q121" s="165"/>
      <c r="R121" s="166"/>
      <c r="S121" s="170"/>
    </row>
    <row r="122" spans="1:19" ht="13.5" customHeight="1" thickBot="1" x14ac:dyDescent="0.3">
      <c r="A122" s="7"/>
      <c r="B122" s="173" t="s">
        <v>217</v>
      </c>
      <c r="C122" s="174"/>
      <c r="D122" s="174"/>
      <c r="E122" s="174"/>
      <c r="F122" s="174"/>
      <c r="G122" s="167"/>
      <c r="H122" s="168"/>
      <c r="I122" s="8" t="s">
        <v>218</v>
      </c>
      <c r="J122" s="36"/>
      <c r="K122" s="7"/>
      <c r="L122" s="173" t="s">
        <v>217</v>
      </c>
      <c r="M122" s="174"/>
      <c r="N122" s="174"/>
      <c r="O122" s="174"/>
      <c r="P122" s="174"/>
      <c r="Q122" s="167"/>
      <c r="R122" s="168"/>
      <c r="S122" s="8" t="s">
        <v>218</v>
      </c>
    </row>
    <row r="123" spans="1:19" ht="21" customHeight="1" thickBot="1" x14ac:dyDescent="0.3">
      <c r="A123" s="7"/>
      <c r="B123" s="141" t="s">
        <v>219</v>
      </c>
      <c r="C123" s="142"/>
      <c r="D123" s="142"/>
      <c r="E123" s="142"/>
      <c r="F123" s="142"/>
      <c r="G123" s="143">
        <v>0</v>
      </c>
      <c r="H123" s="144"/>
      <c r="I123" s="8" t="s">
        <v>220</v>
      </c>
      <c r="J123" s="36"/>
      <c r="K123" s="7"/>
      <c r="L123" s="141" t="s">
        <v>219</v>
      </c>
      <c r="M123" s="142"/>
      <c r="N123" s="142"/>
      <c r="O123" s="142"/>
      <c r="P123" s="142"/>
      <c r="Q123" s="143">
        <v>0</v>
      </c>
      <c r="R123" s="144"/>
      <c r="S123" s="8" t="s">
        <v>220</v>
      </c>
    </row>
    <row r="124" spans="1:19" ht="21" customHeight="1" thickBot="1" x14ac:dyDescent="0.3">
      <c r="A124" s="7"/>
      <c r="B124" s="141" t="s">
        <v>221</v>
      </c>
      <c r="C124" s="142"/>
      <c r="D124" s="142"/>
      <c r="E124" s="142"/>
      <c r="F124" s="142"/>
      <c r="G124" s="143">
        <f>0.474*12*F115</f>
        <v>3436.1208000000001</v>
      </c>
      <c r="H124" s="144"/>
      <c r="I124" s="8" t="s">
        <v>222</v>
      </c>
      <c r="J124" s="37"/>
      <c r="K124" s="7"/>
      <c r="L124" s="141" t="s">
        <v>221</v>
      </c>
      <c r="M124" s="142"/>
      <c r="N124" s="142"/>
      <c r="O124" s="142"/>
      <c r="P124" s="142"/>
      <c r="Q124" s="143">
        <f>0.474*12*P115</f>
        <v>5285.8583999999992</v>
      </c>
      <c r="R124" s="144"/>
      <c r="S124" s="8" t="s">
        <v>222</v>
      </c>
    </row>
    <row r="125" spans="1:19" ht="13.5" customHeight="1" x14ac:dyDescent="0.25">
      <c r="A125" s="9"/>
      <c r="B125" s="145" t="s">
        <v>223</v>
      </c>
      <c r="C125" s="146"/>
      <c r="D125" s="146"/>
      <c r="E125" s="146"/>
      <c r="F125" s="146"/>
      <c r="G125" s="86">
        <f>1.95*12*F115</f>
        <v>14135.94</v>
      </c>
      <c r="H125" s="147"/>
      <c r="I125" s="152" t="s">
        <v>224</v>
      </c>
      <c r="J125" s="38"/>
      <c r="K125" s="9"/>
      <c r="L125" s="145" t="s">
        <v>223</v>
      </c>
      <c r="M125" s="146"/>
      <c r="N125" s="146"/>
      <c r="O125" s="146"/>
      <c r="P125" s="146"/>
      <c r="Q125" s="86">
        <f>1.69*12*P115</f>
        <v>18846.204000000002</v>
      </c>
      <c r="R125" s="147"/>
      <c r="S125" s="152" t="s">
        <v>224</v>
      </c>
    </row>
    <row r="126" spans="1:19" ht="13.5" customHeight="1" x14ac:dyDescent="0.25">
      <c r="A126" s="10"/>
      <c r="B126" s="155" t="s">
        <v>226</v>
      </c>
      <c r="C126" s="156"/>
      <c r="D126" s="156"/>
      <c r="E126" s="156"/>
      <c r="F126" s="156"/>
      <c r="G126" s="148"/>
      <c r="H126" s="149"/>
      <c r="I126" s="153"/>
      <c r="J126" s="38"/>
      <c r="K126" s="10"/>
      <c r="L126" s="155" t="s">
        <v>226</v>
      </c>
      <c r="M126" s="156"/>
      <c r="N126" s="156"/>
      <c r="O126" s="156"/>
      <c r="P126" s="156"/>
      <c r="Q126" s="148"/>
      <c r="R126" s="149"/>
      <c r="S126" s="153"/>
    </row>
    <row r="127" spans="1:19" ht="13.5" customHeight="1" thickBot="1" x14ac:dyDescent="0.3">
      <c r="A127" s="10"/>
      <c r="B127" s="157" t="s">
        <v>227</v>
      </c>
      <c r="C127" s="158"/>
      <c r="D127" s="158"/>
      <c r="E127" s="158"/>
      <c r="F127" s="158"/>
      <c r="G127" s="148"/>
      <c r="H127" s="149"/>
      <c r="I127" s="154"/>
      <c r="J127" s="39"/>
      <c r="K127" s="10"/>
      <c r="L127" s="157" t="s">
        <v>227</v>
      </c>
      <c r="M127" s="158"/>
      <c r="N127" s="158"/>
      <c r="O127" s="158"/>
      <c r="P127" s="158"/>
      <c r="Q127" s="148"/>
      <c r="R127" s="149"/>
      <c r="S127" s="154"/>
    </row>
    <row r="128" spans="1:19" ht="13.5" customHeight="1" thickBot="1" x14ac:dyDescent="0.3">
      <c r="A128" s="10"/>
      <c r="B128" s="159" t="s">
        <v>228</v>
      </c>
      <c r="C128" s="160"/>
      <c r="D128" s="160"/>
      <c r="E128" s="160"/>
      <c r="F128" s="160"/>
      <c r="G128" s="150"/>
      <c r="H128" s="151"/>
      <c r="I128" s="11" t="s">
        <v>229</v>
      </c>
      <c r="J128" s="36"/>
      <c r="K128" s="10"/>
      <c r="L128" s="159" t="s">
        <v>228</v>
      </c>
      <c r="M128" s="160"/>
      <c r="N128" s="160"/>
      <c r="O128" s="160"/>
      <c r="P128" s="160"/>
      <c r="Q128" s="150"/>
      <c r="R128" s="151"/>
      <c r="S128" s="11" t="s">
        <v>229</v>
      </c>
    </row>
    <row r="129" spans="1:19" ht="13.5" customHeight="1" x14ac:dyDescent="0.25">
      <c r="A129" s="12"/>
      <c r="B129" s="125" t="s">
        <v>230</v>
      </c>
      <c r="C129" s="126"/>
      <c r="D129" s="126"/>
      <c r="E129" s="126"/>
      <c r="F129" s="126"/>
      <c r="G129" s="86"/>
      <c r="H129" s="87"/>
      <c r="I129" s="129" t="s">
        <v>220</v>
      </c>
      <c r="J129" s="36"/>
      <c r="K129" s="12"/>
      <c r="L129" s="125" t="s">
        <v>230</v>
      </c>
      <c r="M129" s="126"/>
      <c r="N129" s="126"/>
      <c r="O129" s="126"/>
      <c r="P129" s="126"/>
      <c r="Q129" s="86">
        <f>0.048*12*P115</f>
        <v>535.27679999999998</v>
      </c>
      <c r="R129" s="87"/>
      <c r="S129" s="129" t="s">
        <v>220</v>
      </c>
    </row>
    <row r="130" spans="1:19" ht="13.5" customHeight="1" thickBot="1" x14ac:dyDescent="0.3">
      <c r="A130" s="7"/>
      <c r="B130" s="131" t="s">
        <v>231</v>
      </c>
      <c r="C130" s="132"/>
      <c r="D130" s="132"/>
      <c r="E130" s="132"/>
      <c r="F130" s="132"/>
      <c r="G130" s="127"/>
      <c r="H130" s="128"/>
      <c r="I130" s="130"/>
      <c r="J130" s="36"/>
      <c r="K130" s="7"/>
      <c r="L130" s="131" t="s">
        <v>231</v>
      </c>
      <c r="M130" s="132"/>
      <c r="N130" s="132"/>
      <c r="O130" s="132"/>
      <c r="P130" s="132"/>
      <c r="Q130" s="127"/>
      <c r="R130" s="128"/>
      <c r="S130" s="130"/>
    </row>
    <row r="131" spans="1:19" ht="15.75" customHeight="1" thickBot="1" x14ac:dyDescent="0.3">
      <c r="A131" s="13"/>
      <c r="B131" s="133" t="s">
        <v>232</v>
      </c>
      <c r="C131" s="134"/>
      <c r="D131" s="134"/>
      <c r="E131" s="134"/>
      <c r="F131" s="134"/>
      <c r="G131" s="135"/>
      <c r="H131" s="136"/>
      <c r="I131" s="14"/>
      <c r="J131" s="36"/>
      <c r="K131" s="13"/>
      <c r="L131" s="133" t="s">
        <v>232</v>
      </c>
      <c r="M131" s="134"/>
      <c r="N131" s="134"/>
      <c r="O131" s="134"/>
      <c r="P131" s="134"/>
      <c r="Q131" s="135"/>
      <c r="R131" s="136"/>
      <c r="S131" s="14"/>
    </row>
    <row r="132" spans="1:19" ht="25.5" customHeight="1" thickBot="1" x14ac:dyDescent="0.3">
      <c r="A132" s="13"/>
      <c r="B132" s="84" t="s">
        <v>233</v>
      </c>
      <c r="C132" s="85"/>
      <c r="D132" s="85"/>
      <c r="E132" s="85"/>
      <c r="F132" s="85"/>
      <c r="G132" s="86">
        <f>1.45*12*F115</f>
        <v>10511.34</v>
      </c>
      <c r="H132" s="87"/>
      <c r="I132" s="299" t="s">
        <v>496</v>
      </c>
      <c r="J132" s="41"/>
      <c r="K132" s="13"/>
      <c r="L132" s="84" t="s">
        <v>233</v>
      </c>
      <c r="M132" s="85"/>
      <c r="N132" s="85"/>
      <c r="O132" s="85"/>
      <c r="P132" s="85"/>
      <c r="Q132" s="86">
        <f>1.4*12*P115</f>
        <v>15612.239999999996</v>
      </c>
      <c r="R132" s="87"/>
      <c r="S132" s="92" t="s">
        <v>497</v>
      </c>
    </row>
    <row r="133" spans="1:19" ht="27.95" customHeight="1" x14ac:dyDescent="0.25">
      <c r="A133" s="118"/>
      <c r="B133" s="121" t="s">
        <v>226</v>
      </c>
      <c r="C133" s="122"/>
      <c r="D133" s="122"/>
      <c r="E133" s="122"/>
      <c r="F133" s="122"/>
      <c r="G133" s="88"/>
      <c r="H133" s="89"/>
      <c r="I133" s="300"/>
      <c r="J133" s="41"/>
      <c r="K133" s="118"/>
      <c r="L133" s="121" t="s">
        <v>226</v>
      </c>
      <c r="M133" s="122"/>
      <c r="N133" s="122"/>
      <c r="O133" s="122"/>
      <c r="P133" s="122"/>
      <c r="Q133" s="88"/>
      <c r="R133" s="89"/>
      <c r="S133" s="93"/>
    </row>
    <row r="134" spans="1:19" ht="15.6" customHeight="1" x14ac:dyDescent="0.25">
      <c r="A134" s="119"/>
      <c r="B134" s="121" t="s">
        <v>227</v>
      </c>
      <c r="C134" s="122"/>
      <c r="D134" s="122"/>
      <c r="E134" s="122"/>
      <c r="F134" s="122"/>
      <c r="G134" s="88"/>
      <c r="H134" s="89"/>
      <c r="I134" s="300"/>
      <c r="J134" s="41"/>
      <c r="K134" s="119"/>
      <c r="L134" s="121" t="s">
        <v>227</v>
      </c>
      <c r="M134" s="122"/>
      <c r="N134" s="122"/>
      <c r="O134" s="122"/>
      <c r="P134" s="122"/>
      <c r="Q134" s="88"/>
      <c r="R134" s="89"/>
      <c r="S134" s="93"/>
    </row>
    <row r="135" spans="1:19" ht="15.95" customHeight="1" x14ac:dyDescent="0.25">
      <c r="A135" s="119"/>
      <c r="B135" s="121" t="s">
        <v>228</v>
      </c>
      <c r="C135" s="122"/>
      <c r="D135" s="122"/>
      <c r="E135" s="122"/>
      <c r="F135" s="122"/>
      <c r="G135" s="88"/>
      <c r="H135" s="89"/>
      <c r="I135" s="300"/>
      <c r="J135" s="42"/>
      <c r="K135" s="119"/>
      <c r="L135" s="121" t="s">
        <v>228</v>
      </c>
      <c r="M135" s="122"/>
      <c r="N135" s="122"/>
      <c r="O135" s="122"/>
      <c r="P135" s="122"/>
      <c r="Q135" s="88"/>
      <c r="R135" s="89"/>
      <c r="S135" s="93"/>
    </row>
    <row r="136" spans="1:19" ht="45.75" customHeight="1" thickBot="1" x14ac:dyDescent="0.3">
      <c r="A136" s="120"/>
      <c r="B136" s="123" t="s">
        <v>234</v>
      </c>
      <c r="C136" s="124"/>
      <c r="D136" s="124"/>
      <c r="E136" s="124"/>
      <c r="F136" s="124"/>
      <c r="G136" s="90"/>
      <c r="H136" s="91"/>
      <c r="I136" s="301"/>
      <c r="J136" s="43"/>
      <c r="K136" s="120"/>
      <c r="L136" s="123" t="s">
        <v>234</v>
      </c>
      <c r="M136" s="124"/>
      <c r="N136" s="124"/>
      <c r="O136" s="124"/>
      <c r="P136" s="124"/>
      <c r="Q136" s="90"/>
      <c r="R136" s="91"/>
      <c r="S136" s="94"/>
    </row>
    <row r="137" spans="1:19" ht="21.75" customHeight="1" thickBot="1" x14ac:dyDescent="0.3">
      <c r="A137" s="15"/>
      <c r="B137" s="137" t="s">
        <v>248</v>
      </c>
      <c r="C137" s="138"/>
      <c r="D137" s="138"/>
      <c r="E137" s="138"/>
      <c r="F137" s="138"/>
      <c r="G137" s="139"/>
      <c r="H137" s="140"/>
      <c r="I137" s="16"/>
      <c r="J137" s="44"/>
      <c r="K137" s="15"/>
      <c r="L137" s="137" t="s">
        <v>248</v>
      </c>
      <c r="M137" s="138"/>
      <c r="N137" s="138"/>
      <c r="O137" s="138"/>
      <c r="P137" s="138"/>
      <c r="Q137" s="139"/>
      <c r="R137" s="140"/>
      <c r="S137" s="16"/>
    </row>
    <row r="138" spans="1:19" ht="28.5" customHeight="1" thickBot="1" x14ac:dyDescent="0.3">
      <c r="A138" s="15"/>
      <c r="B138" s="137" t="s">
        <v>235</v>
      </c>
      <c r="C138" s="138"/>
      <c r="D138" s="138"/>
      <c r="E138" s="138"/>
      <c r="F138" s="138"/>
      <c r="G138" s="139"/>
      <c r="H138" s="140"/>
      <c r="I138" s="16"/>
      <c r="J138" s="40"/>
      <c r="K138" s="15"/>
      <c r="L138" s="137" t="s">
        <v>235</v>
      </c>
      <c r="M138" s="138"/>
      <c r="N138" s="138"/>
      <c r="O138" s="138"/>
      <c r="P138" s="138"/>
      <c r="Q138" s="139"/>
      <c r="R138" s="140"/>
      <c r="S138" s="16"/>
    </row>
    <row r="139" spans="1:19" ht="33.75" customHeight="1" thickBot="1" x14ac:dyDescent="0.3">
      <c r="A139" s="17"/>
      <c r="B139" s="78" t="s">
        <v>237</v>
      </c>
      <c r="C139" s="79"/>
      <c r="D139" s="79"/>
      <c r="E139" s="79"/>
      <c r="F139" s="79"/>
      <c r="G139" s="86">
        <v>7955</v>
      </c>
      <c r="H139" s="87"/>
      <c r="I139" s="108" t="s">
        <v>229</v>
      </c>
      <c r="J139" s="62"/>
      <c r="K139" s="17"/>
      <c r="L139" s="78" t="s">
        <v>237</v>
      </c>
      <c r="M139" s="79"/>
      <c r="N139" s="79"/>
      <c r="O139" s="79"/>
      <c r="P139" s="79"/>
      <c r="Q139" s="86">
        <v>11932</v>
      </c>
      <c r="R139" s="87"/>
      <c r="S139" s="108" t="s">
        <v>229</v>
      </c>
    </row>
    <row r="140" spans="1:19" ht="15.75" customHeight="1" thickBot="1" x14ac:dyDescent="0.3">
      <c r="A140" s="18"/>
      <c r="B140" s="110" t="s">
        <v>238</v>
      </c>
      <c r="C140" s="111"/>
      <c r="D140" s="111"/>
      <c r="E140" s="111"/>
      <c r="F140" s="111"/>
      <c r="G140" s="90"/>
      <c r="H140" s="91"/>
      <c r="I140" s="109"/>
      <c r="J140" s="46"/>
      <c r="K140" s="18"/>
      <c r="L140" s="110" t="s">
        <v>238</v>
      </c>
      <c r="M140" s="111"/>
      <c r="N140" s="111"/>
      <c r="O140" s="111"/>
      <c r="P140" s="111"/>
      <c r="Q140" s="90"/>
      <c r="R140" s="91"/>
      <c r="S140" s="109"/>
    </row>
    <row r="141" spans="1:19" ht="15.75" customHeight="1" thickBot="1" x14ac:dyDescent="0.3">
      <c r="A141" s="19"/>
      <c r="B141" s="112" t="s">
        <v>239</v>
      </c>
      <c r="C141" s="113"/>
      <c r="D141" s="113"/>
      <c r="E141" s="113"/>
      <c r="F141" s="113"/>
      <c r="G141" s="114">
        <f>SUM(G120:H140)</f>
        <v>47057.184800000003</v>
      </c>
      <c r="H141" s="115"/>
      <c r="I141" s="20"/>
      <c r="J141" s="47"/>
      <c r="K141" s="19"/>
      <c r="L141" s="112" t="s">
        <v>239</v>
      </c>
      <c r="M141" s="113"/>
      <c r="N141" s="113"/>
      <c r="O141" s="113"/>
      <c r="P141" s="113"/>
      <c r="Q141" s="114">
        <f>SUM(Q120:R140)</f>
        <v>66597.143199999991</v>
      </c>
      <c r="R141" s="115"/>
      <c r="S141" s="20"/>
    </row>
    <row r="142" spans="1:19" ht="26.25" customHeight="1" thickBot="1" x14ac:dyDescent="0.3">
      <c r="A142" s="21"/>
      <c r="B142" s="101" t="s">
        <v>240</v>
      </c>
      <c r="C142" s="102"/>
      <c r="D142" s="102"/>
      <c r="E142" s="102"/>
      <c r="F142" s="102"/>
      <c r="G142" s="116">
        <f>G141*1.2</f>
        <v>56468.621760000002</v>
      </c>
      <c r="H142" s="117"/>
      <c r="I142" s="22"/>
      <c r="J142" s="47"/>
      <c r="K142" s="21"/>
      <c r="L142" s="101" t="s">
        <v>240</v>
      </c>
      <c r="M142" s="102"/>
      <c r="N142" s="102"/>
      <c r="O142" s="102"/>
      <c r="P142" s="102"/>
      <c r="Q142" s="116">
        <f>Q141*1.2</f>
        <v>79916.57183999999</v>
      </c>
      <c r="R142" s="117"/>
      <c r="S142" s="22"/>
    </row>
    <row r="143" spans="1:19" ht="26.25" customHeight="1" thickBot="1" x14ac:dyDescent="0.3">
      <c r="A143" s="24"/>
      <c r="B143" s="96" t="s">
        <v>443</v>
      </c>
      <c r="C143" s="97"/>
      <c r="D143" s="97"/>
      <c r="E143" s="97"/>
      <c r="F143" s="97"/>
      <c r="G143" s="311">
        <v>47873.52</v>
      </c>
      <c r="H143" s="312"/>
      <c r="I143" s="313"/>
      <c r="J143" s="47"/>
      <c r="K143" s="24"/>
      <c r="L143" s="96" t="s">
        <v>443</v>
      </c>
      <c r="M143" s="97"/>
      <c r="N143" s="97"/>
      <c r="O143" s="97"/>
      <c r="P143" s="97"/>
      <c r="Q143" s="311">
        <v>82169.52</v>
      </c>
      <c r="R143" s="312"/>
      <c r="S143" s="313"/>
    </row>
    <row r="144" spans="1:19" ht="26.25" customHeight="1" thickBot="1" x14ac:dyDescent="0.3">
      <c r="A144" s="19"/>
      <c r="B144" s="101" t="s">
        <v>242</v>
      </c>
      <c r="C144" s="102"/>
      <c r="D144" s="102"/>
      <c r="E144" s="102"/>
      <c r="F144" s="102"/>
      <c r="G144" s="307">
        <v>47977.42</v>
      </c>
      <c r="H144" s="308"/>
      <c r="I144" s="309"/>
      <c r="J144" s="48"/>
      <c r="K144" s="19"/>
      <c r="L144" s="101" t="s">
        <v>242</v>
      </c>
      <c r="M144" s="102"/>
      <c r="N144" s="102"/>
      <c r="O144" s="102"/>
      <c r="P144" s="102"/>
      <c r="Q144" s="307">
        <v>83131.350000000006</v>
      </c>
      <c r="R144" s="308"/>
      <c r="S144" s="309"/>
    </row>
    <row r="145" spans="1:19" ht="26.25" customHeight="1" thickBot="1" x14ac:dyDescent="0.3">
      <c r="A145" s="19"/>
      <c r="B145" s="106" t="s">
        <v>444</v>
      </c>
      <c r="C145" s="107"/>
      <c r="D145" s="107"/>
      <c r="E145" s="107"/>
      <c r="F145" s="107"/>
      <c r="G145" s="307">
        <v>14332.2</v>
      </c>
      <c r="H145" s="308"/>
      <c r="I145" s="309"/>
      <c r="J145" s="49"/>
      <c r="K145" s="19"/>
      <c r="L145" s="106" t="s">
        <v>444</v>
      </c>
      <c r="M145" s="107"/>
      <c r="N145" s="107"/>
      <c r="O145" s="107"/>
      <c r="P145" s="107"/>
      <c r="Q145" s="307">
        <v>5336.5</v>
      </c>
      <c r="R145" s="308"/>
      <c r="S145" s="309"/>
    </row>
    <row r="146" spans="1:19" ht="29.25" customHeight="1" x14ac:dyDescent="0.25">
      <c r="A146" s="4"/>
      <c r="B146" s="310"/>
      <c r="C146" s="310"/>
      <c r="D146" s="310"/>
      <c r="E146" s="310"/>
      <c r="F146" s="310"/>
      <c r="G146" s="310"/>
      <c r="H146" s="310"/>
      <c r="I146" s="310"/>
      <c r="K146" s="4"/>
      <c r="L146" s="26"/>
      <c r="M146" s="26"/>
      <c r="N146" s="26"/>
      <c r="O146" s="26"/>
      <c r="P146" s="26"/>
      <c r="Q146" s="27"/>
      <c r="R146" s="3"/>
      <c r="S146" s="3"/>
    </row>
    <row r="147" spans="1:19" ht="15.75" x14ac:dyDescent="0.25">
      <c r="A147" s="30"/>
      <c r="K147" s="30"/>
    </row>
    <row r="148" spans="1:19" ht="15.75" x14ac:dyDescent="0.25">
      <c r="A148" s="30"/>
      <c r="K148" s="30"/>
    </row>
    <row r="149" spans="1:19" x14ac:dyDescent="0.25">
      <c r="A149" s="3"/>
      <c r="B149" s="3"/>
      <c r="C149" s="3"/>
      <c r="D149" s="3"/>
      <c r="E149" s="4" t="s">
        <v>204</v>
      </c>
      <c r="F149" s="3"/>
      <c r="G149" s="3"/>
      <c r="H149" s="3"/>
      <c r="I149" s="3"/>
      <c r="K149" s="3"/>
      <c r="L149" s="3"/>
      <c r="M149" s="3"/>
      <c r="N149" s="3"/>
      <c r="O149" s="4" t="s">
        <v>204</v>
      </c>
      <c r="P149" s="3"/>
      <c r="Q149" s="3"/>
      <c r="R149" s="3"/>
      <c r="S149" s="3"/>
    </row>
    <row r="150" spans="1:19" x14ac:dyDescent="0.25">
      <c r="A150" s="3" t="s">
        <v>205</v>
      </c>
      <c r="B150" s="3"/>
      <c r="C150" s="3"/>
      <c r="D150" s="3" t="s">
        <v>281</v>
      </c>
      <c r="E150" s="3"/>
      <c r="F150" s="3"/>
      <c r="G150" s="3"/>
      <c r="H150" s="3"/>
      <c r="I150" s="3"/>
      <c r="K150" s="3" t="s">
        <v>205</v>
      </c>
      <c r="L150" s="3"/>
      <c r="M150" s="3"/>
      <c r="N150" s="3" t="s">
        <v>282</v>
      </c>
      <c r="O150" s="3"/>
      <c r="P150" s="3"/>
      <c r="Q150" s="3"/>
      <c r="R150" s="3"/>
      <c r="S150" s="3"/>
    </row>
    <row r="151" spans="1:19" x14ac:dyDescent="0.25">
      <c r="A151" s="3"/>
      <c r="B151" s="5" t="s">
        <v>440</v>
      </c>
      <c r="C151" s="3"/>
      <c r="D151" s="3"/>
      <c r="E151" s="3"/>
      <c r="F151" s="3"/>
      <c r="G151" s="3"/>
      <c r="H151" s="3"/>
      <c r="I151" s="3"/>
      <c r="K151" s="3"/>
      <c r="L151" s="5" t="s">
        <v>440</v>
      </c>
      <c r="M151" s="3"/>
      <c r="N151" s="3"/>
      <c r="O151" s="3"/>
      <c r="P151" s="3"/>
      <c r="Q151" s="3"/>
      <c r="R151" s="3"/>
      <c r="S151" s="3"/>
    </row>
    <row r="152" spans="1:19" ht="15.75" thickBot="1" x14ac:dyDescent="0.3">
      <c r="A152" s="3"/>
      <c r="B152" s="5" t="s">
        <v>206</v>
      </c>
      <c r="C152" s="3"/>
      <c r="D152" s="3"/>
      <c r="E152" s="3"/>
      <c r="F152" s="3">
        <v>1667.1</v>
      </c>
      <c r="G152" s="3" t="s">
        <v>207</v>
      </c>
      <c r="H152" s="3"/>
      <c r="I152" s="3"/>
      <c r="J152" s="3"/>
      <c r="K152" s="3"/>
      <c r="L152" s="5" t="s">
        <v>206</v>
      </c>
      <c r="M152" s="3"/>
      <c r="N152" s="3"/>
      <c r="O152" s="3"/>
      <c r="P152" s="3">
        <v>1393.2</v>
      </c>
      <c r="Q152" s="3" t="s">
        <v>207</v>
      </c>
      <c r="R152" s="3"/>
      <c r="S152" s="3"/>
    </row>
    <row r="153" spans="1:19" ht="15.75" customHeight="1" thickBot="1" x14ac:dyDescent="0.3">
      <c r="A153" s="175" t="s">
        <v>209</v>
      </c>
      <c r="B153" s="177" t="s">
        <v>210</v>
      </c>
      <c r="C153" s="178"/>
      <c r="D153" s="178"/>
      <c r="E153" s="178"/>
      <c r="F153" s="178"/>
      <c r="G153" s="180" t="s">
        <v>441</v>
      </c>
      <c r="H153" s="181"/>
      <c r="I153" s="175" t="s">
        <v>212</v>
      </c>
      <c r="J153" s="3"/>
      <c r="K153" s="175" t="s">
        <v>209</v>
      </c>
      <c r="L153" s="177" t="s">
        <v>210</v>
      </c>
      <c r="M153" s="178"/>
      <c r="N153" s="178"/>
      <c r="O153" s="178"/>
      <c r="P153" s="178"/>
      <c r="Q153" s="180" t="s">
        <v>442</v>
      </c>
      <c r="R153" s="181"/>
      <c r="S153" s="175" t="s">
        <v>212</v>
      </c>
    </row>
    <row r="154" spans="1:19" ht="66" customHeight="1" thickBot="1" x14ac:dyDescent="0.3">
      <c r="A154" s="176"/>
      <c r="B154" s="179"/>
      <c r="C154" s="179"/>
      <c r="D154" s="179"/>
      <c r="E154" s="179"/>
      <c r="F154" s="179"/>
      <c r="G154" s="182"/>
      <c r="H154" s="183"/>
      <c r="I154" s="184"/>
      <c r="J154" s="31"/>
      <c r="K154" s="176"/>
      <c r="L154" s="179"/>
      <c r="M154" s="179"/>
      <c r="N154" s="179"/>
      <c r="O154" s="179"/>
      <c r="P154" s="179"/>
      <c r="Q154" s="182"/>
      <c r="R154" s="183"/>
      <c r="S154" s="184"/>
    </row>
    <row r="155" spans="1:19" ht="19.5" customHeight="1" thickBot="1" x14ac:dyDescent="0.3">
      <c r="A155" s="185" t="s">
        <v>213</v>
      </c>
      <c r="B155" s="187" t="s">
        <v>354</v>
      </c>
      <c r="C155" s="188"/>
      <c r="D155" s="188"/>
      <c r="E155" s="188"/>
      <c r="F155" s="188"/>
      <c r="G155" s="190">
        <v>9274.02</v>
      </c>
      <c r="H155" s="191"/>
      <c r="I155" s="192"/>
      <c r="J155" s="32"/>
      <c r="K155" s="185" t="s">
        <v>213</v>
      </c>
      <c r="L155" s="187" t="s">
        <v>354</v>
      </c>
      <c r="M155" s="188"/>
      <c r="N155" s="188"/>
      <c r="O155" s="188"/>
      <c r="P155" s="188"/>
      <c r="Q155" s="190">
        <v>40744.46</v>
      </c>
      <c r="R155" s="191"/>
      <c r="S155" s="192"/>
    </row>
    <row r="156" spans="1:19" ht="15.75" hidden="1" customHeight="1" x14ac:dyDescent="0.25">
      <c r="A156" s="186"/>
      <c r="B156" s="189"/>
      <c r="C156" s="189"/>
      <c r="D156" s="189"/>
      <c r="E156" s="189"/>
      <c r="F156" s="189"/>
      <c r="G156" s="193"/>
      <c r="H156" s="194"/>
      <c r="I156" s="128"/>
      <c r="J156" s="33"/>
      <c r="K156" s="186"/>
      <c r="L156" s="189"/>
      <c r="M156" s="189"/>
      <c r="N156" s="189"/>
      <c r="O156" s="189"/>
      <c r="P156" s="189"/>
      <c r="Q156" s="193"/>
      <c r="R156" s="194"/>
      <c r="S156" s="128"/>
    </row>
    <row r="157" spans="1:19" ht="16.5" customHeight="1" x14ac:dyDescent="0.25">
      <c r="A157" s="6"/>
      <c r="B157" s="161" t="s">
        <v>214</v>
      </c>
      <c r="C157" s="162"/>
      <c r="D157" s="162"/>
      <c r="E157" s="162"/>
      <c r="F157" s="162"/>
      <c r="G157" s="163">
        <f>1.29*12*F152</f>
        <v>25806.707999999999</v>
      </c>
      <c r="H157" s="164"/>
      <c r="I157" s="169" t="s">
        <v>215</v>
      </c>
      <c r="J157" s="36"/>
      <c r="K157" s="6"/>
      <c r="L157" s="161" t="s">
        <v>214</v>
      </c>
      <c r="M157" s="162"/>
      <c r="N157" s="162"/>
      <c r="O157" s="162"/>
      <c r="P157" s="162"/>
      <c r="Q157" s="163">
        <f>1.25*12*P152</f>
        <v>20898</v>
      </c>
      <c r="R157" s="164"/>
      <c r="S157" s="169" t="s">
        <v>215</v>
      </c>
    </row>
    <row r="158" spans="1:19" ht="29.25" customHeight="1" thickBot="1" x14ac:dyDescent="0.3">
      <c r="A158" s="7"/>
      <c r="B158" s="171" t="s">
        <v>216</v>
      </c>
      <c r="C158" s="172"/>
      <c r="D158" s="172"/>
      <c r="E158" s="172"/>
      <c r="F158" s="172"/>
      <c r="G158" s="165"/>
      <c r="H158" s="166"/>
      <c r="I158" s="170"/>
      <c r="J158" s="35"/>
      <c r="K158" s="7"/>
      <c r="L158" s="171" t="s">
        <v>216</v>
      </c>
      <c r="M158" s="172"/>
      <c r="N158" s="172"/>
      <c r="O158" s="172"/>
      <c r="P158" s="172"/>
      <c r="Q158" s="165"/>
      <c r="R158" s="166"/>
      <c r="S158" s="170"/>
    </row>
    <row r="159" spans="1:19" ht="13.5" customHeight="1" thickBot="1" x14ac:dyDescent="0.3">
      <c r="A159" s="7"/>
      <c r="B159" s="173" t="s">
        <v>217</v>
      </c>
      <c r="C159" s="174"/>
      <c r="D159" s="174"/>
      <c r="E159" s="174"/>
      <c r="F159" s="174"/>
      <c r="G159" s="167"/>
      <c r="H159" s="168"/>
      <c r="I159" s="8" t="s">
        <v>218</v>
      </c>
      <c r="J159" s="36"/>
      <c r="K159" s="7"/>
      <c r="L159" s="173" t="s">
        <v>217</v>
      </c>
      <c r="M159" s="174"/>
      <c r="N159" s="174"/>
      <c r="O159" s="174"/>
      <c r="P159" s="174"/>
      <c r="Q159" s="167"/>
      <c r="R159" s="168"/>
      <c r="S159" s="8" t="s">
        <v>218</v>
      </c>
    </row>
    <row r="160" spans="1:19" ht="13.5" customHeight="1" thickBot="1" x14ac:dyDescent="0.3">
      <c r="A160" s="7"/>
      <c r="B160" s="141" t="s">
        <v>219</v>
      </c>
      <c r="C160" s="142"/>
      <c r="D160" s="142"/>
      <c r="E160" s="142"/>
      <c r="F160" s="142"/>
      <c r="G160" s="143">
        <v>0</v>
      </c>
      <c r="H160" s="144"/>
      <c r="I160" s="8" t="s">
        <v>220</v>
      </c>
      <c r="J160" s="36"/>
      <c r="K160" s="7"/>
      <c r="L160" s="141" t="s">
        <v>219</v>
      </c>
      <c r="M160" s="142"/>
      <c r="N160" s="142"/>
      <c r="O160" s="142"/>
      <c r="P160" s="142"/>
      <c r="Q160" s="143">
        <v>0</v>
      </c>
      <c r="R160" s="144"/>
      <c r="S160" s="8" t="s">
        <v>220</v>
      </c>
    </row>
    <row r="161" spans="1:19" ht="20.25" customHeight="1" thickBot="1" x14ac:dyDescent="0.3">
      <c r="A161" s="7"/>
      <c r="B161" s="141" t="s">
        <v>221</v>
      </c>
      <c r="C161" s="142"/>
      <c r="D161" s="142"/>
      <c r="E161" s="142"/>
      <c r="F161" s="142"/>
      <c r="G161" s="143">
        <f>0.474*12*F152</f>
        <v>9482.4647999999997</v>
      </c>
      <c r="H161" s="144"/>
      <c r="I161" s="8" t="s">
        <v>222</v>
      </c>
      <c r="J161" s="37"/>
      <c r="K161" s="7"/>
      <c r="L161" s="141" t="s">
        <v>221</v>
      </c>
      <c r="M161" s="142"/>
      <c r="N161" s="142"/>
      <c r="O161" s="142"/>
      <c r="P161" s="142"/>
      <c r="Q161" s="143">
        <f>0.474*12*P152</f>
        <v>7924.5216</v>
      </c>
      <c r="R161" s="144"/>
      <c r="S161" s="8" t="s">
        <v>222</v>
      </c>
    </row>
    <row r="162" spans="1:19" ht="30.75" customHeight="1" x14ac:dyDescent="0.25">
      <c r="A162" s="9"/>
      <c r="B162" s="145" t="s">
        <v>223</v>
      </c>
      <c r="C162" s="146"/>
      <c r="D162" s="146"/>
      <c r="E162" s="146"/>
      <c r="F162" s="146"/>
      <c r="G162" s="86">
        <f>1.76*12*F152</f>
        <v>35209.152000000002</v>
      </c>
      <c r="H162" s="147"/>
      <c r="I162" s="152" t="s">
        <v>224</v>
      </c>
      <c r="J162" s="38"/>
      <c r="K162" s="9"/>
      <c r="L162" s="145" t="s">
        <v>223</v>
      </c>
      <c r="M162" s="146"/>
      <c r="N162" s="146"/>
      <c r="O162" s="146"/>
      <c r="P162" s="146"/>
      <c r="Q162" s="86">
        <f>1.74*12*P152</f>
        <v>29090.016</v>
      </c>
      <c r="R162" s="147"/>
      <c r="S162" s="152" t="s">
        <v>224</v>
      </c>
    </row>
    <row r="163" spans="1:19" ht="13.5" customHeight="1" x14ac:dyDescent="0.25">
      <c r="A163" s="10"/>
      <c r="B163" s="155" t="s">
        <v>226</v>
      </c>
      <c r="C163" s="156"/>
      <c r="D163" s="156"/>
      <c r="E163" s="156"/>
      <c r="F163" s="156"/>
      <c r="G163" s="148"/>
      <c r="H163" s="149"/>
      <c r="I163" s="153"/>
      <c r="J163" s="38"/>
      <c r="K163" s="10"/>
      <c r="L163" s="155" t="s">
        <v>226</v>
      </c>
      <c r="M163" s="156"/>
      <c r="N163" s="156"/>
      <c r="O163" s="156"/>
      <c r="P163" s="156"/>
      <c r="Q163" s="148"/>
      <c r="R163" s="149"/>
      <c r="S163" s="153"/>
    </row>
    <row r="164" spans="1:19" ht="13.5" customHeight="1" thickBot="1" x14ac:dyDescent="0.3">
      <c r="A164" s="10"/>
      <c r="B164" s="157" t="s">
        <v>227</v>
      </c>
      <c r="C164" s="158"/>
      <c r="D164" s="158"/>
      <c r="E164" s="158"/>
      <c r="F164" s="158"/>
      <c r="G164" s="148"/>
      <c r="H164" s="149"/>
      <c r="I164" s="154"/>
      <c r="J164" s="39"/>
      <c r="K164" s="10"/>
      <c r="L164" s="157" t="s">
        <v>227</v>
      </c>
      <c r="M164" s="158"/>
      <c r="N164" s="158"/>
      <c r="O164" s="158"/>
      <c r="P164" s="158"/>
      <c r="Q164" s="148"/>
      <c r="R164" s="149"/>
      <c r="S164" s="154"/>
    </row>
    <row r="165" spans="1:19" ht="13.5" customHeight="1" thickBot="1" x14ac:dyDescent="0.3">
      <c r="A165" s="10"/>
      <c r="B165" s="159" t="s">
        <v>228</v>
      </c>
      <c r="C165" s="160"/>
      <c r="D165" s="160"/>
      <c r="E165" s="160"/>
      <c r="F165" s="160"/>
      <c r="G165" s="150"/>
      <c r="H165" s="151"/>
      <c r="I165" s="11" t="s">
        <v>229</v>
      </c>
      <c r="J165" s="36"/>
      <c r="K165" s="10"/>
      <c r="L165" s="159" t="s">
        <v>228</v>
      </c>
      <c r="M165" s="160"/>
      <c r="N165" s="160"/>
      <c r="O165" s="160"/>
      <c r="P165" s="160"/>
      <c r="Q165" s="150"/>
      <c r="R165" s="151"/>
      <c r="S165" s="11" t="s">
        <v>229</v>
      </c>
    </row>
    <row r="166" spans="1:19" ht="13.5" customHeight="1" x14ac:dyDescent="0.25">
      <c r="A166" s="12"/>
      <c r="B166" s="125" t="s">
        <v>230</v>
      </c>
      <c r="C166" s="126"/>
      <c r="D166" s="126"/>
      <c r="E166" s="126"/>
      <c r="F166" s="126"/>
      <c r="G166" s="86">
        <f>0.04*12*F152</f>
        <v>800.20799999999997</v>
      </c>
      <c r="H166" s="87"/>
      <c r="I166" s="129" t="s">
        <v>220</v>
      </c>
      <c r="J166" s="36"/>
      <c r="K166" s="12"/>
      <c r="L166" s="125" t="s">
        <v>230</v>
      </c>
      <c r="M166" s="126"/>
      <c r="N166" s="126"/>
      <c r="O166" s="126"/>
      <c r="P166" s="126"/>
      <c r="Q166" s="86">
        <f>0.04*12*P152</f>
        <v>668.73599999999999</v>
      </c>
      <c r="R166" s="87"/>
      <c r="S166" s="129" t="s">
        <v>220</v>
      </c>
    </row>
    <row r="167" spans="1:19" ht="13.5" customHeight="1" thickBot="1" x14ac:dyDescent="0.3">
      <c r="A167" s="7"/>
      <c r="B167" s="131" t="s">
        <v>231</v>
      </c>
      <c r="C167" s="132"/>
      <c r="D167" s="132"/>
      <c r="E167" s="132"/>
      <c r="F167" s="132"/>
      <c r="G167" s="127"/>
      <c r="H167" s="128"/>
      <c r="I167" s="130"/>
      <c r="J167" s="36"/>
      <c r="K167" s="7"/>
      <c r="L167" s="131" t="s">
        <v>231</v>
      </c>
      <c r="M167" s="132"/>
      <c r="N167" s="132"/>
      <c r="O167" s="132"/>
      <c r="P167" s="132"/>
      <c r="Q167" s="127"/>
      <c r="R167" s="128"/>
      <c r="S167" s="130"/>
    </row>
    <row r="168" spans="1:19" ht="15.75" customHeight="1" thickBot="1" x14ac:dyDescent="0.3">
      <c r="A168" s="13"/>
      <c r="B168" s="133" t="s">
        <v>232</v>
      </c>
      <c r="C168" s="134"/>
      <c r="D168" s="134"/>
      <c r="E168" s="134"/>
      <c r="F168" s="134"/>
      <c r="G168" s="135"/>
      <c r="H168" s="136"/>
      <c r="I168" s="14"/>
      <c r="J168" s="36"/>
      <c r="K168" s="13"/>
      <c r="L168" s="133" t="s">
        <v>232</v>
      </c>
      <c r="M168" s="134"/>
      <c r="N168" s="134"/>
      <c r="O168" s="134"/>
      <c r="P168" s="134"/>
      <c r="Q168" s="135"/>
      <c r="R168" s="136"/>
      <c r="S168" s="14"/>
    </row>
    <row r="169" spans="1:19" ht="15.75" customHeight="1" thickBot="1" x14ac:dyDescent="0.3">
      <c r="A169" s="13"/>
      <c r="B169" s="84" t="s">
        <v>233</v>
      </c>
      <c r="C169" s="85"/>
      <c r="D169" s="85"/>
      <c r="E169" s="85"/>
      <c r="F169" s="85"/>
      <c r="G169" s="86">
        <f>0.8*12*F152</f>
        <v>16004.160000000002</v>
      </c>
      <c r="H169" s="87"/>
      <c r="I169" s="320" t="s">
        <v>498</v>
      </c>
      <c r="J169" s="41"/>
      <c r="K169" s="13"/>
      <c r="L169" s="84" t="s">
        <v>233</v>
      </c>
      <c r="M169" s="85"/>
      <c r="N169" s="85"/>
      <c r="O169" s="85"/>
      <c r="P169" s="85"/>
      <c r="Q169" s="86">
        <f>1.1*12*P152</f>
        <v>18390.240000000002</v>
      </c>
      <c r="R169" s="87"/>
      <c r="S169" s="299" t="s">
        <v>499</v>
      </c>
    </row>
    <row r="170" spans="1:19" ht="26.45" customHeight="1" x14ac:dyDescent="0.25">
      <c r="A170" s="118"/>
      <c r="B170" s="121" t="s">
        <v>226</v>
      </c>
      <c r="C170" s="122"/>
      <c r="D170" s="122"/>
      <c r="E170" s="122"/>
      <c r="F170" s="122"/>
      <c r="G170" s="88"/>
      <c r="H170" s="89"/>
      <c r="I170" s="321"/>
      <c r="J170" s="41"/>
      <c r="K170" s="118"/>
      <c r="L170" s="121" t="s">
        <v>226</v>
      </c>
      <c r="M170" s="122"/>
      <c r="N170" s="122"/>
      <c r="O170" s="122"/>
      <c r="P170" s="122"/>
      <c r="Q170" s="88"/>
      <c r="R170" s="89"/>
      <c r="S170" s="300"/>
    </row>
    <row r="171" spans="1:19" ht="18" customHeight="1" x14ac:dyDescent="0.25">
      <c r="A171" s="119"/>
      <c r="B171" s="121" t="s">
        <v>227</v>
      </c>
      <c r="C171" s="122"/>
      <c r="D171" s="122"/>
      <c r="E171" s="122"/>
      <c r="F171" s="122"/>
      <c r="G171" s="88"/>
      <c r="H171" s="89"/>
      <c r="I171" s="321"/>
      <c r="J171" s="41"/>
      <c r="K171" s="119"/>
      <c r="L171" s="121" t="s">
        <v>227</v>
      </c>
      <c r="M171" s="122"/>
      <c r="N171" s="122"/>
      <c r="O171" s="122"/>
      <c r="P171" s="122"/>
      <c r="Q171" s="88"/>
      <c r="R171" s="89"/>
      <c r="S171" s="300"/>
    </row>
    <row r="172" spans="1:19" ht="30.75" customHeight="1" x14ac:dyDescent="0.25">
      <c r="A172" s="119"/>
      <c r="B172" s="121" t="s">
        <v>228</v>
      </c>
      <c r="C172" s="122"/>
      <c r="D172" s="122"/>
      <c r="E172" s="122"/>
      <c r="F172" s="122"/>
      <c r="G172" s="88"/>
      <c r="H172" s="89"/>
      <c r="I172" s="321"/>
      <c r="J172" s="41"/>
      <c r="K172" s="119"/>
      <c r="L172" s="121" t="s">
        <v>228</v>
      </c>
      <c r="M172" s="122"/>
      <c r="N172" s="122"/>
      <c r="O172" s="122"/>
      <c r="P172" s="122"/>
      <c r="Q172" s="88"/>
      <c r="R172" s="89"/>
      <c r="S172" s="300"/>
    </row>
    <row r="173" spans="1:19" ht="57" customHeight="1" thickBot="1" x14ac:dyDescent="0.3">
      <c r="A173" s="120"/>
      <c r="B173" s="123" t="s">
        <v>234</v>
      </c>
      <c r="C173" s="124"/>
      <c r="D173" s="124"/>
      <c r="E173" s="124"/>
      <c r="F173" s="124"/>
      <c r="G173" s="90"/>
      <c r="H173" s="91"/>
      <c r="I173" s="322"/>
      <c r="J173" s="42"/>
      <c r="K173" s="120"/>
      <c r="L173" s="123" t="s">
        <v>234</v>
      </c>
      <c r="M173" s="124"/>
      <c r="N173" s="124"/>
      <c r="O173" s="124"/>
      <c r="P173" s="124"/>
      <c r="Q173" s="90"/>
      <c r="R173" s="91"/>
      <c r="S173" s="301"/>
    </row>
    <row r="174" spans="1:19" ht="0.75" customHeight="1" thickBot="1" x14ac:dyDescent="0.3">
      <c r="A174" s="15"/>
      <c r="B174" s="137" t="s">
        <v>248</v>
      </c>
      <c r="C174" s="138"/>
      <c r="D174" s="138"/>
      <c r="E174" s="138"/>
      <c r="F174" s="138"/>
      <c r="G174" s="139"/>
      <c r="H174" s="140"/>
      <c r="I174" s="16"/>
      <c r="J174" s="43"/>
      <c r="K174" s="15"/>
      <c r="L174" s="137" t="s">
        <v>248</v>
      </c>
      <c r="M174" s="138"/>
      <c r="N174" s="138"/>
      <c r="O174" s="138"/>
      <c r="P174" s="138"/>
      <c r="Q174" s="139"/>
      <c r="R174" s="140"/>
      <c r="S174" s="16"/>
    </row>
    <row r="175" spans="1:19" ht="29.25" hidden="1" customHeight="1" x14ac:dyDescent="0.25">
      <c r="A175" s="15"/>
      <c r="B175" s="137" t="s">
        <v>235</v>
      </c>
      <c r="C175" s="138"/>
      <c r="D175" s="138"/>
      <c r="E175" s="138"/>
      <c r="F175" s="138"/>
      <c r="G175" s="139"/>
      <c r="H175" s="140"/>
      <c r="I175" s="16"/>
      <c r="J175" s="44"/>
      <c r="K175" s="15"/>
      <c r="L175" s="137" t="s">
        <v>235</v>
      </c>
      <c r="M175" s="138"/>
      <c r="N175" s="138"/>
      <c r="O175" s="138"/>
      <c r="P175" s="138"/>
      <c r="Q175" s="139"/>
      <c r="R175" s="140"/>
      <c r="S175" s="16"/>
    </row>
    <row r="176" spans="1:19" ht="32.25" customHeight="1" thickBot="1" x14ac:dyDescent="0.3">
      <c r="A176" s="17"/>
      <c r="B176" s="78" t="s">
        <v>237</v>
      </c>
      <c r="C176" s="79"/>
      <c r="D176" s="79"/>
      <c r="E176" s="79"/>
      <c r="F176" s="79"/>
      <c r="G176" s="86">
        <f>18833/2</f>
        <v>9416.5</v>
      </c>
      <c r="H176" s="87"/>
      <c r="I176" s="108" t="s">
        <v>229</v>
      </c>
      <c r="J176" s="40"/>
      <c r="K176" s="17"/>
      <c r="L176" s="78" t="s">
        <v>237</v>
      </c>
      <c r="M176" s="79"/>
      <c r="N176" s="79"/>
      <c r="O176" s="79"/>
      <c r="P176" s="79"/>
      <c r="Q176" s="86">
        <v>1134</v>
      </c>
      <c r="R176" s="87"/>
      <c r="S176" s="108" t="s">
        <v>229</v>
      </c>
    </row>
    <row r="177" spans="1:19" ht="15.75" thickBot="1" x14ac:dyDescent="0.3">
      <c r="A177" s="18"/>
      <c r="B177" s="110" t="s">
        <v>238</v>
      </c>
      <c r="C177" s="111"/>
      <c r="D177" s="111"/>
      <c r="E177" s="111"/>
      <c r="F177" s="111"/>
      <c r="G177" s="90"/>
      <c r="H177" s="91"/>
      <c r="I177" s="109"/>
      <c r="J177" s="45"/>
      <c r="K177" s="18"/>
      <c r="L177" s="110" t="s">
        <v>238</v>
      </c>
      <c r="M177" s="111"/>
      <c r="N177" s="111"/>
      <c r="O177" s="111"/>
      <c r="P177" s="111"/>
      <c r="Q177" s="90"/>
      <c r="R177" s="91"/>
      <c r="S177" s="109"/>
    </row>
    <row r="178" spans="1:19" ht="15.75" thickBot="1" x14ac:dyDescent="0.3">
      <c r="A178" s="19"/>
      <c r="B178" s="112" t="s">
        <v>239</v>
      </c>
      <c r="C178" s="113"/>
      <c r="D178" s="113"/>
      <c r="E178" s="113"/>
      <c r="F178" s="113"/>
      <c r="G178" s="114">
        <f>SUM(G157:H177)</f>
        <v>96719.192800000004</v>
      </c>
      <c r="H178" s="115"/>
      <c r="I178" s="20"/>
      <c r="J178" s="46"/>
      <c r="K178" s="19"/>
      <c r="L178" s="112" t="s">
        <v>239</v>
      </c>
      <c r="M178" s="113"/>
      <c r="N178" s="113"/>
      <c r="O178" s="113"/>
      <c r="P178" s="113"/>
      <c r="Q178" s="114">
        <f>SUM(Q157:R177)</f>
        <v>78105.513599999991</v>
      </c>
      <c r="R178" s="115"/>
      <c r="S178" s="20"/>
    </row>
    <row r="179" spans="1:19" ht="24" customHeight="1" thickBot="1" x14ac:dyDescent="0.3">
      <c r="A179" s="21"/>
      <c r="B179" s="101" t="s">
        <v>240</v>
      </c>
      <c r="C179" s="102"/>
      <c r="D179" s="102"/>
      <c r="E179" s="102"/>
      <c r="F179" s="102"/>
      <c r="G179" s="116">
        <f>G178*1.2</f>
        <v>116063.03136000001</v>
      </c>
      <c r="H179" s="117"/>
      <c r="I179" s="22"/>
      <c r="J179" s="47"/>
      <c r="K179" s="21"/>
      <c r="L179" s="101" t="s">
        <v>240</v>
      </c>
      <c r="M179" s="102"/>
      <c r="N179" s="102"/>
      <c r="O179" s="102"/>
      <c r="P179" s="102"/>
      <c r="Q179" s="116">
        <f>Q178*1.2</f>
        <v>93726.616319999986</v>
      </c>
      <c r="R179" s="117"/>
      <c r="S179" s="22"/>
    </row>
    <row r="180" spans="1:19" ht="24" customHeight="1" thickBot="1" x14ac:dyDescent="0.3">
      <c r="A180" s="24"/>
      <c r="B180" s="96" t="s">
        <v>443</v>
      </c>
      <c r="C180" s="97"/>
      <c r="D180" s="97"/>
      <c r="E180" s="97"/>
      <c r="F180" s="97"/>
      <c r="G180" s="311">
        <v>128262</v>
      </c>
      <c r="H180" s="312"/>
      <c r="I180" s="313"/>
      <c r="J180" s="47"/>
      <c r="K180" s="24"/>
      <c r="L180" s="96" t="s">
        <v>443</v>
      </c>
      <c r="M180" s="97"/>
      <c r="N180" s="97"/>
      <c r="O180" s="97"/>
      <c r="P180" s="97"/>
      <c r="Q180" s="311">
        <v>103497.09</v>
      </c>
      <c r="R180" s="312"/>
      <c r="S180" s="313"/>
    </row>
    <row r="181" spans="1:19" ht="24" customHeight="1" thickBot="1" x14ac:dyDescent="0.3">
      <c r="A181" s="19"/>
      <c r="B181" s="101" t="s">
        <v>242</v>
      </c>
      <c r="C181" s="102"/>
      <c r="D181" s="102"/>
      <c r="E181" s="102"/>
      <c r="F181" s="102"/>
      <c r="G181" s="307">
        <v>128150.15</v>
      </c>
      <c r="H181" s="308"/>
      <c r="I181" s="309"/>
      <c r="J181" s="47"/>
      <c r="K181" s="19"/>
      <c r="L181" s="101" t="s">
        <v>242</v>
      </c>
      <c r="M181" s="102"/>
      <c r="N181" s="102"/>
      <c r="O181" s="102"/>
      <c r="P181" s="102"/>
      <c r="Q181" s="307">
        <v>98417.32</v>
      </c>
      <c r="R181" s="308"/>
      <c r="S181" s="309"/>
    </row>
    <row r="182" spans="1:19" ht="24" customHeight="1" thickBot="1" x14ac:dyDescent="0.3">
      <c r="A182" s="19"/>
      <c r="B182" s="106" t="s">
        <v>444</v>
      </c>
      <c r="C182" s="107"/>
      <c r="D182" s="107"/>
      <c r="E182" s="107"/>
      <c r="F182" s="107"/>
      <c r="G182" s="307">
        <v>9385.8700000000008</v>
      </c>
      <c r="H182" s="308"/>
      <c r="I182" s="309"/>
      <c r="J182" s="47"/>
      <c r="K182" s="19"/>
      <c r="L182" s="106" t="s">
        <v>444</v>
      </c>
      <c r="M182" s="107"/>
      <c r="N182" s="107"/>
      <c r="O182" s="107"/>
      <c r="P182" s="107"/>
      <c r="Q182" s="307">
        <v>45824.23</v>
      </c>
      <c r="R182" s="308"/>
      <c r="S182" s="309"/>
    </row>
    <row r="183" spans="1:19" x14ac:dyDescent="0.25">
      <c r="A183" s="4"/>
      <c r="B183" s="26"/>
      <c r="C183" s="26"/>
      <c r="D183" s="26"/>
      <c r="E183" s="26"/>
      <c r="F183" s="26"/>
      <c r="G183" s="27"/>
      <c r="H183" s="3"/>
      <c r="I183" s="3"/>
      <c r="K183" s="4"/>
      <c r="L183" s="26"/>
      <c r="M183" s="26"/>
      <c r="N183" s="26"/>
      <c r="O183" s="26"/>
      <c r="P183" s="26"/>
      <c r="Q183" s="27"/>
      <c r="R183" s="3"/>
      <c r="S183" s="3"/>
    </row>
    <row r="184" spans="1:19" ht="15.75" x14ac:dyDescent="0.25">
      <c r="A184" s="30"/>
      <c r="C184" s="30"/>
      <c r="K184" s="30"/>
      <c r="N184" s="30"/>
    </row>
    <row r="185" spans="1:19" ht="15.75" x14ac:dyDescent="0.25">
      <c r="A185" s="30"/>
      <c r="C185" s="30"/>
      <c r="K185" s="30"/>
      <c r="N185" s="30"/>
    </row>
    <row r="186" spans="1:19" x14ac:dyDescent="0.25">
      <c r="A186" s="3"/>
      <c r="B186" s="3"/>
      <c r="C186" s="3"/>
      <c r="D186" s="3"/>
      <c r="E186" s="4" t="s">
        <v>204</v>
      </c>
      <c r="F186" s="3"/>
      <c r="G186" s="3"/>
      <c r="H186" s="3"/>
      <c r="I186" s="3"/>
      <c r="K186" s="3"/>
      <c r="L186" s="3"/>
      <c r="M186" s="3"/>
      <c r="N186" s="3"/>
      <c r="O186" s="4" t="s">
        <v>204</v>
      </c>
      <c r="P186" s="3"/>
      <c r="Q186" s="3"/>
      <c r="R186" s="3"/>
      <c r="S186" s="3"/>
    </row>
    <row r="187" spans="1:19" x14ac:dyDescent="0.25">
      <c r="A187" s="3" t="s">
        <v>205</v>
      </c>
      <c r="B187" s="3"/>
      <c r="C187" s="3"/>
      <c r="D187" s="3" t="s">
        <v>283</v>
      </c>
      <c r="E187" s="3"/>
      <c r="F187" s="3"/>
      <c r="G187" s="3"/>
      <c r="H187" s="3"/>
      <c r="I187" s="3"/>
      <c r="K187" s="3" t="s">
        <v>205</v>
      </c>
      <c r="L187" s="3"/>
      <c r="M187" s="3"/>
      <c r="N187" s="3" t="s">
        <v>284</v>
      </c>
      <c r="O187" s="3"/>
      <c r="P187" s="3"/>
      <c r="Q187" s="3"/>
      <c r="R187" s="3"/>
      <c r="S187" s="3"/>
    </row>
    <row r="188" spans="1:19" x14ac:dyDescent="0.25">
      <c r="A188" s="3"/>
      <c r="B188" s="5" t="s">
        <v>440</v>
      </c>
      <c r="C188" s="3"/>
      <c r="D188" s="3"/>
      <c r="E188" s="3"/>
      <c r="F188" s="3"/>
      <c r="G188" s="3"/>
      <c r="H188" s="3"/>
      <c r="I188" s="3"/>
      <c r="K188" s="3"/>
      <c r="L188" s="5" t="s">
        <v>440</v>
      </c>
      <c r="M188" s="3"/>
      <c r="N188" s="3"/>
      <c r="O188" s="3"/>
      <c r="P188" s="3"/>
      <c r="Q188" s="3"/>
      <c r="R188" s="3"/>
      <c r="S188" s="3"/>
    </row>
    <row r="189" spans="1:19" x14ac:dyDescent="0.25">
      <c r="A189" s="3"/>
      <c r="B189" s="5" t="s">
        <v>206</v>
      </c>
      <c r="C189" s="3"/>
      <c r="D189" s="3"/>
      <c r="E189" s="3"/>
      <c r="F189" s="3">
        <v>1772</v>
      </c>
      <c r="G189" s="3" t="s">
        <v>207</v>
      </c>
      <c r="H189" s="3"/>
      <c r="I189" s="3"/>
      <c r="K189" s="3"/>
      <c r="L189" s="5" t="s">
        <v>206</v>
      </c>
      <c r="M189" s="3"/>
      <c r="N189" s="3"/>
      <c r="O189" s="3"/>
      <c r="P189" s="3">
        <v>2260.3000000000002</v>
      </c>
      <c r="Q189" s="3" t="s">
        <v>207</v>
      </c>
      <c r="R189" s="3"/>
      <c r="S189" s="3"/>
    </row>
    <row r="190" spans="1:19" ht="15.75" thickBot="1" x14ac:dyDescent="0.3">
      <c r="A190" s="3"/>
      <c r="B190" s="3"/>
      <c r="C190" s="3"/>
      <c r="D190" s="4"/>
      <c r="E190" s="4"/>
      <c r="F190" s="3"/>
      <c r="G190" s="3"/>
      <c r="H190" s="3"/>
      <c r="I190" s="3"/>
      <c r="J190" s="3"/>
      <c r="K190" s="3"/>
      <c r="L190" s="3"/>
      <c r="M190" s="3"/>
      <c r="N190" s="4"/>
      <c r="O190" s="4"/>
      <c r="P190" s="3"/>
      <c r="Q190" s="3"/>
      <c r="R190" s="3"/>
      <c r="S190" s="3"/>
    </row>
    <row r="191" spans="1:19" ht="15" customHeight="1" x14ac:dyDescent="0.25">
      <c r="A191" s="175" t="s">
        <v>209</v>
      </c>
      <c r="B191" s="177" t="s">
        <v>210</v>
      </c>
      <c r="C191" s="178"/>
      <c r="D191" s="178"/>
      <c r="E191" s="178"/>
      <c r="F191" s="178"/>
      <c r="G191" s="180" t="s">
        <v>442</v>
      </c>
      <c r="H191" s="181"/>
      <c r="I191" s="175" t="s">
        <v>212</v>
      </c>
      <c r="J191" s="3"/>
      <c r="K191" s="175" t="s">
        <v>209</v>
      </c>
      <c r="L191" s="177" t="s">
        <v>210</v>
      </c>
      <c r="M191" s="178"/>
      <c r="N191" s="178"/>
      <c r="O191" s="178"/>
      <c r="P191" s="178"/>
      <c r="Q191" s="180" t="s">
        <v>441</v>
      </c>
      <c r="R191" s="181"/>
      <c r="S191" s="175" t="s">
        <v>212</v>
      </c>
    </row>
    <row r="192" spans="1:19" ht="76.5" customHeight="1" thickBot="1" x14ac:dyDescent="0.3">
      <c r="A192" s="176"/>
      <c r="B192" s="179"/>
      <c r="C192" s="179"/>
      <c r="D192" s="179"/>
      <c r="E192" s="179"/>
      <c r="F192" s="179"/>
      <c r="G192" s="182"/>
      <c r="H192" s="183"/>
      <c r="I192" s="184"/>
      <c r="J192" s="3"/>
      <c r="K192" s="176"/>
      <c r="L192" s="179"/>
      <c r="M192" s="179"/>
      <c r="N192" s="179"/>
      <c r="O192" s="179"/>
      <c r="P192" s="179"/>
      <c r="Q192" s="182"/>
      <c r="R192" s="183"/>
      <c r="S192" s="184"/>
    </row>
    <row r="193" spans="1:19" ht="15" customHeight="1" x14ac:dyDescent="0.25">
      <c r="A193" s="185" t="s">
        <v>213</v>
      </c>
      <c r="B193" s="187" t="s">
        <v>354</v>
      </c>
      <c r="C193" s="188"/>
      <c r="D193" s="188"/>
      <c r="E193" s="188"/>
      <c r="F193" s="188"/>
      <c r="G193" s="190">
        <v>21228.77</v>
      </c>
      <c r="H193" s="191"/>
      <c r="I193" s="192"/>
      <c r="J193" s="51"/>
      <c r="K193" s="185" t="s">
        <v>213</v>
      </c>
      <c r="L193" s="187" t="s">
        <v>354</v>
      </c>
      <c r="M193" s="188"/>
      <c r="N193" s="188"/>
      <c r="O193" s="188"/>
      <c r="P193" s="188"/>
      <c r="Q193" s="190">
        <v>51508.03</v>
      </c>
      <c r="R193" s="191"/>
      <c r="S193" s="192"/>
    </row>
    <row r="194" spans="1:19" ht="8.25" customHeight="1" thickBot="1" x14ac:dyDescent="0.3">
      <c r="A194" s="186"/>
      <c r="B194" s="189"/>
      <c r="C194" s="189"/>
      <c r="D194" s="189"/>
      <c r="E194" s="189"/>
      <c r="F194" s="189"/>
      <c r="G194" s="193"/>
      <c r="H194" s="194"/>
      <c r="I194" s="128"/>
      <c r="J194" s="52"/>
      <c r="K194" s="186"/>
      <c r="L194" s="189"/>
      <c r="M194" s="189"/>
      <c r="N194" s="189"/>
      <c r="O194" s="189"/>
      <c r="P194" s="189"/>
      <c r="Q194" s="193"/>
      <c r="R194" s="194"/>
      <c r="S194" s="128"/>
    </row>
    <row r="195" spans="1:19" ht="15" customHeight="1" x14ac:dyDescent="0.25">
      <c r="A195" s="6"/>
      <c r="B195" s="161" t="s">
        <v>214</v>
      </c>
      <c r="C195" s="162"/>
      <c r="D195" s="162"/>
      <c r="E195" s="162"/>
      <c r="F195" s="162"/>
      <c r="G195" s="163">
        <f>0.9*12*F189</f>
        <v>19137.600000000002</v>
      </c>
      <c r="H195" s="164"/>
      <c r="I195" s="169" t="s">
        <v>215</v>
      </c>
      <c r="J195" s="63"/>
      <c r="K195" s="6"/>
      <c r="L195" s="161" t="s">
        <v>214</v>
      </c>
      <c r="M195" s="162"/>
      <c r="N195" s="162"/>
      <c r="O195" s="162"/>
      <c r="P195" s="162"/>
      <c r="Q195" s="163">
        <f>1.2*12*P189</f>
        <v>32548.32</v>
      </c>
      <c r="R195" s="164"/>
      <c r="S195" s="169" t="s">
        <v>215</v>
      </c>
    </row>
    <row r="196" spans="1:19" ht="33.75" customHeight="1" thickBot="1" x14ac:dyDescent="0.3">
      <c r="A196" s="7"/>
      <c r="B196" s="171" t="s">
        <v>216</v>
      </c>
      <c r="C196" s="172"/>
      <c r="D196" s="172"/>
      <c r="E196" s="172"/>
      <c r="F196" s="172"/>
      <c r="G196" s="165"/>
      <c r="H196" s="166"/>
      <c r="I196" s="170"/>
      <c r="J196" s="43"/>
      <c r="K196" s="7"/>
      <c r="L196" s="171" t="s">
        <v>216</v>
      </c>
      <c r="M196" s="172"/>
      <c r="N196" s="172"/>
      <c r="O196" s="172"/>
      <c r="P196" s="172"/>
      <c r="Q196" s="165"/>
      <c r="R196" s="166"/>
      <c r="S196" s="170"/>
    </row>
    <row r="197" spans="1:19" ht="13.5" customHeight="1" thickBot="1" x14ac:dyDescent="0.3">
      <c r="A197" s="7"/>
      <c r="B197" s="173" t="s">
        <v>217</v>
      </c>
      <c r="C197" s="174"/>
      <c r="D197" s="174"/>
      <c r="E197" s="174"/>
      <c r="F197" s="174"/>
      <c r="G197" s="167"/>
      <c r="H197" s="168"/>
      <c r="I197" s="8" t="s">
        <v>218</v>
      </c>
      <c r="J197" s="42"/>
      <c r="K197" s="7"/>
      <c r="L197" s="173" t="s">
        <v>217</v>
      </c>
      <c r="M197" s="174"/>
      <c r="N197" s="174"/>
      <c r="O197" s="174"/>
      <c r="P197" s="174"/>
      <c r="Q197" s="167"/>
      <c r="R197" s="168"/>
      <c r="S197" s="8" t="s">
        <v>218</v>
      </c>
    </row>
    <row r="198" spans="1:19" ht="24.75" customHeight="1" thickBot="1" x14ac:dyDescent="0.3">
      <c r="A198" s="7"/>
      <c r="B198" s="141" t="s">
        <v>219</v>
      </c>
      <c r="C198" s="142"/>
      <c r="D198" s="142"/>
      <c r="E198" s="142"/>
      <c r="F198" s="142"/>
      <c r="G198" s="143">
        <v>0</v>
      </c>
      <c r="H198" s="144"/>
      <c r="I198" s="8" t="s">
        <v>220</v>
      </c>
      <c r="J198" s="43"/>
      <c r="K198" s="7"/>
      <c r="L198" s="141" t="s">
        <v>219</v>
      </c>
      <c r="M198" s="142"/>
      <c r="N198" s="142"/>
      <c r="O198" s="142"/>
      <c r="P198" s="142"/>
      <c r="Q198" s="143">
        <v>0</v>
      </c>
      <c r="R198" s="144"/>
      <c r="S198" s="8" t="s">
        <v>220</v>
      </c>
    </row>
    <row r="199" spans="1:19" ht="24.75" customHeight="1" thickBot="1" x14ac:dyDescent="0.3">
      <c r="A199" s="7"/>
      <c r="B199" s="141" t="s">
        <v>221</v>
      </c>
      <c r="C199" s="142"/>
      <c r="D199" s="142"/>
      <c r="E199" s="142"/>
      <c r="F199" s="142"/>
      <c r="G199" s="143">
        <f>0.474*12*F189</f>
        <v>10079.135999999999</v>
      </c>
      <c r="H199" s="144"/>
      <c r="I199" s="8" t="s">
        <v>222</v>
      </c>
      <c r="J199" s="55"/>
      <c r="K199" s="7"/>
      <c r="L199" s="141" t="s">
        <v>221</v>
      </c>
      <c r="M199" s="142"/>
      <c r="N199" s="142"/>
      <c r="O199" s="142"/>
      <c r="P199" s="142"/>
      <c r="Q199" s="143">
        <f>0.474*12*P189</f>
        <v>12856.5864</v>
      </c>
      <c r="R199" s="144"/>
      <c r="S199" s="8" t="s">
        <v>222</v>
      </c>
    </row>
    <row r="200" spans="1:19" ht="13.5" customHeight="1" x14ac:dyDescent="0.25">
      <c r="A200" s="9"/>
      <c r="B200" s="145" t="s">
        <v>223</v>
      </c>
      <c r="C200" s="146"/>
      <c r="D200" s="146"/>
      <c r="E200" s="146"/>
      <c r="F200" s="146"/>
      <c r="G200" s="86">
        <f>1.97*12*F189</f>
        <v>41890.080000000002</v>
      </c>
      <c r="H200" s="147"/>
      <c r="I200" s="152" t="s">
        <v>224</v>
      </c>
      <c r="J200" s="56"/>
      <c r="K200" s="9"/>
      <c r="L200" s="145" t="s">
        <v>223</v>
      </c>
      <c r="M200" s="146"/>
      <c r="N200" s="146"/>
      <c r="O200" s="146"/>
      <c r="P200" s="146"/>
      <c r="Q200" s="86">
        <f>1.84*12*P189</f>
        <v>49907.424000000006</v>
      </c>
      <c r="R200" s="147"/>
      <c r="S200" s="152" t="s">
        <v>224</v>
      </c>
    </row>
    <row r="201" spans="1:19" ht="13.5" customHeight="1" x14ac:dyDescent="0.25">
      <c r="A201" s="10"/>
      <c r="B201" s="155" t="s">
        <v>226</v>
      </c>
      <c r="C201" s="156"/>
      <c r="D201" s="156"/>
      <c r="E201" s="156"/>
      <c r="F201" s="156"/>
      <c r="G201" s="148"/>
      <c r="H201" s="149"/>
      <c r="I201" s="153"/>
      <c r="J201" s="56"/>
      <c r="K201" s="10"/>
      <c r="L201" s="155" t="s">
        <v>226</v>
      </c>
      <c r="M201" s="156"/>
      <c r="N201" s="156"/>
      <c r="O201" s="156"/>
      <c r="P201" s="156"/>
      <c r="Q201" s="148"/>
      <c r="R201" s="149"/>
      <c r="S201" s="153"/>
    </row>
    <row r="202" spans="1:19" ht="13.5" customHeight="1" thickBot="1" x14ac:dyDescent="0.3">
      <c r="A202" s="10"/>
      <c r="B202" s="157" t="s">
        <v>227</v>
      </c>
      <c r="C202" s="158"/>
      <c r="D202" s="158"/>
      <c r="E202" s="158"/>
      <c r="F202" s="158"/>
      <c r="G202" s="148"/>
      <c r="H202" s="149"/>
      <c r="I202" s="154"/>
      <c r="J202" s="56"/>
      <c r="K202" s="10"/>
      <c r="L202" s="157" t="s">
        <v>227</v>
      </c>
      <c r="M202" s="158"/>
      <c r="N202" s="158"/>
      <c r="O202" s="158"/>
      <c r="P202" s="158"/>
      <c r="Q202" s="148"/>
      <c r="R202" s="149"/>
      <c r="S202" s="154"/>
    </row>
    <row r="203" spans="1:19" ht="13.5" customHeight="1" thickBot="1" x14ac:dyDescent="0.3">
      <c r="A203" s="10"/>
      <c r="B203" s="159" t="s">
        <v>228</v>
      </c>
      <c r="C203" s="160"/>
      <c r="D203" s="160"/>
      <c r="E203" s="160"/>
      <c r="F203" s="160"/>
      <c r="G203" s="150"/>
      <c r="H203" s="151"/>
      <c r="I203" s="11" t="s">
        <v>229</v>
      </c>
      <c r="J203" s="57"/>
      <c r="K203" s="10"/>
      <c r="L203" s="159" t="s">
        <v>228</v>
      </c>
      <c r="M203" s="160"/>
      <c r="N203" s="160"/>
      <c r="O203" s="160"/>
      <c r="P203" s="160"/>
      <c r="Q203" s="150"/>
      <c r="R203" s="151"/>
      <c r="S203" s="11" t="s">
        <v>229</v>
      </c>
    </row>
    <row r="204" spans="1:19" ht="13.5" customHeight="1" x14ac:dyDescent="0.25">
      <c r="A204" s="12"/>
      <c r="B204" s="125" t="s">
        <v>230</v>
      </c>
      <c r="C204" s="126"/>
      <c r="D204" s="126"/>
      <c r="E204" s="126"/>
      <c r="F204" s="126"/>
      <c r="G204" s="86">
        <f>0.04*12*F189</f>
        <v>850.56</v>
      </c>
      <c r="H204" s="87"/>
      <c r="I204" s="129" t="s">
        <v>220</v>
      </c>
      <c r="J204" s="43"/>
      <c r="K204" s="12"/>
      <c r="L204" s="125" t="s">
        <v>230</v>
      </c>
      <c r="M204" s="126"/>
      <c r="N204" s="126"/>
      <c r="O204" s="126"/>
      <c r="P204" s="126"/>
      <c r="Q204" s="86">
        <f>0.04*12*P189</f>
        <v>1084.944</v>
      </c>
      <c r="R204" s="87"/>
      <c r="S204" s="129" t="s">
        <v>220</v>
      </c>
    </row>
    <row r="205" spans="1:19" ht="13.5" customHeight="1" thickBot="1" x14ac:dyDescent="0.3">
      <c r="A205" s="7"/>
      <c r="B205" s="131" t="s">
        <v>231</v>
      </c>
      <c r="C205" s="132"/>
      <c r="D205" s="132"/>
      <c r="E205" s="132"/>
      <c r="F205" s="132"/>
      <c r="G205" s="127"/>
      <c r="H205" s="128"/>
      <c r="I205" s="130"/>
      <c r="J205" s="43"/>
      <c r="K205" s="7"/>
      <c r="L205" s="131" t="s">
        <v>231</v>
      </c>
      <c r="M205" s="132"/>
      <c r="N205" s="132"/>
      <c r="O205" s="132"/>
      <c r="P205" s="132"/>
      <c r="Q205" s="127"/>
      <c r="R205" s="128"/>
      <c r="S205" s="130"/>
    </row>
    <row r="206" spans="1:19" ht="15.75" customHeight="1" thickBot="1" x14ac:dyDescent="0.3">
      <c r="A206" s="13"/>
      <c r="B206" s="133" t="s">
        <v>232</v>
      </c>
      <c r="C206" s="134"/>
      <c r="D206" s="134"/>
      <c r="E206" s="134"/>
      <c r="F206" s="134"/>
      <c r="G206" s="135"/>
      <c r="H206" s="136"/>
      <c r="I206" s="14"/>
      <c r="J206" s="43"/>
      <c r="K206" s="13"/>
      <c r="L206" s="133" t="s">
        <v>232</v>
      </c>
      <c r="M206" s="134"/>
      <c r="N206" s="134"/>
      <c r="O206" s="134"/>
      <c r="P206" s="134"/>
      <c r="Q206" s="135"/>
      <c r="R206" s="136"/>
      <c r="S206" s="14"/>
    </row>
    <row r="207" spans="1:19" ht="29.25" customHeight="1" thickBot="1" x14ac:dyDescent="0.3">
      <c r="A207" s="13"/>
      <c r="B207" s="84" t="s">
        <v>233</v>
      </c>
      <c r="C207" s="85"/>
      <c r="D207" s="85"/>
      <c r="E207" s="85"/>
      <c r="F207" s="85"/>
      <c r="G207" s="86">
        <f>1.22*12*F189</f>
        <v>25942.080000000002</v>
      </c>
      <c r="H207" s="87"/>
      <c r="I207" s="92" t="s">
        <v>501</v>
      </c>
      <c r="J207" s="58"/>
      <c r="K207" s="13"/>
      <c r="L207" s="84" t="s">
        <v>233</v>
      </c>
      <c r="M207" s="85"/>
      <c r="N207" s="85"/>
      <c r="O207" s="85"/>
      <c r="P207" s="85"/>
      <c r="Q207" s="86">
        <f>1.42*12*P189</f>
        <v>38515.512000000002</v>
      </c>
      <c r="R207" s="87"/>
      <c r="S207" s="299" t="s">
        <v>502</v>
      </c>
    </row>
    <row r="208" spans="1:19" ht="30" customHeight="1" x14ac:dyDescent="0.25">
      <c r="A208" s="118"/>
      <c r="B208" s="121" t="s">
        <v>226</v>
      </c>
      <c r="C208" s="122"/>
      <c r="D208" s="122"/>
      <c r="E208" s="122"/>
      <c r="F208" s="122"/>
      <c r="G208" s="88"/>
      <c r="H208" s="89"/>
      <c r="I208" s="93"/>
      <c r="J208" s="41"/>
      <c r="K208" s="118"/>
      <c r="L208" s="121" t="s">
        <v>226</v>
      </c>
      <c r="M208" s="122"/>
      <c r="N208" s="122"/>
      <c r="O208" s="122"/>
      <c r="P208" s="122"/>
      <c r="Q208" s="88"/>
      <c r="R208" s="89"/>
      <c r="S208" s="300"/>
    </row>
    <row r="209" spans="1:19" ht="30" customHeight="1" x14ac:dyDescent="0.25">
      <c r="A209" s="119"/>
      <c r="B209" s="121" t="s">
        <v>227</v>
      </c>
      <c r="C209" s="122"/>
      <c r="D209" s="122"/>
      <c r="E209" s="122"/>
      <c r="F209" s="122"/>
      <c r="G209" s="88"/>
      <c r="H209" s="89"/>
      <c r="I209" s="93"/>
      <c r="J209" s="41"/>
      <c r="K209" s="119"/>
      <c r="L209" s="121" t="s">
        <v>227</v>
      </c>
      <c r="M209" s="122"/>
      <c r="N209" s="122"/>
      <c r="O209" s="122"/>
      <c r="P209" s="122"/>
      <c r="Q209" s="88"/>
      <c r="R209" s="89"/>
      <c r="S209" s="300"/>
    </row>
    <row r="210" spans="1:19" ht="27.95" customHeight="1" x14ac:dyDescent="0.25">
      <c r="A210" s="119"/>
      <c r="B210" s="121" t="s">
        <v>228</v>
      </c>
      <c r="C210" s="122"/>
      <c r="D210" s="122"/>
      <c r="E210" s="122"/>
      <c r="F210" s="122"/>
      <c r="G210" s="88"/>
      <c r="H210" s="89"/>
      <c r="I210" s="93"/>
      <c r="J210" s="41"/>
      <c r="K210" s="119"/>
      <c r="L210" s="121" t="s">
        <v>228</v>
      </c>
      <c r="M210" s="122"/>
      <c r="N210" s="122"/>
      <c r="O210" s="122"/>
      <c r="P210" s="122"/>
      <c r="Q210" s="88"/>
      <c r="R210" s="89"/>
      <c r="S210" s="300"/>
    </row>
    <row r="211" spans="1:19" ht="30" customHeight="1" thickBot="1" x14ac:dyDescent="0.3">
      <c r="A211" s="120"/>
      <c r="B211" s="123" t="s">
        <v>234</v>
      </c>
      <c r="C211" s="124"/>
      <c r="D211" s="124"/>
      <c r="E211" s="124"/>
      <c r="F211" s="124"/>
      <c r="G211" s="90"/>
      <c r="H211" s="91"/>
      <c r="I211" s="94"/>
      <c r="J211" s="41"/>
      <c r="K211" s="120"/>
      <c r="L211" s="123" t="s">
        <v>234</v>
      </c>
      <c r="M211" s="124"/>
      <c r="N211" s="124"/>
      <c r="O211" s="124"/>
      <c r="P211" s="124"/>
      <c r="Q211" s="90"/>
      <c r="R211" s="91"/>
      <c r="S211" s="301"/>
    </row>
    <row r="212" spans="1:19" ht="1.5" customHeight="1" thickBot="1" x14ac:dyDescent="0.3">
      <c r="A212" s="15"/>
      <c r="B212" s="137" t="s">
        <v>248</v>
      </c>
      <c r="C212" s="138"/>
      <c r="D212" s="138"/>
      <c r="E212" s="138"/>
      <c r="F212" s="138"/>
      <c r="G212" s="139"/>
      <c r="H212" s="140"/>
      <c r="I212" s="16"/>
      <c r="J212" s="42"/>
      <c r="K212" s="15"/>
      <c r="L212" s="137" t="s">
        <v>248</v>
      </c>
      <c r="M212" s="138"/>
      <c r="N212" s="138"/>
      <c r="O212" s="138"/>
      <c r="P212" s="138"/>
      <c r="Q212" s="139"/>
      <c r="R212" s="140"/>
      <c r="S212" s="16"/>
    </row>
    <row r="213" spans="1:19" ht="0.75" customHeight="1" thickBot="1" x14ac:dyDescent="0.3">
      <c r="A213" s="15"/>
      <c r="B213" s="137" t="s">
        <v>235</v>
      </c>
      <c r="C213" s="138"/>
      <c r="D213" s="138"/>
      <c r="E213" s="138"/>
      <c r="F213" s="138"/>
      <c r="G213" s="139"/>
      <c r="H213" s="140"/>
      <c r="I213" s="16"/>
      <c r="J213" s="43"/>
      <c r="K213" s="15"/>
      <c r="L213" s="137" t="s">
        <v>235</v>
      </c>
      <c r="M213" s="138"/>
      <c r="N213" s="138"/>
      <c r="O213" s="138"/>
      <c r="P213" s="138"/>
      <c r="Q213" s="139"/>
      <c r="R213" s="140"/>
      <c r="S213" s="16"/>
    </row>
    <row r="214" spans="1:19" ht="36" customHeight="1" thickBot="1" x14ac:dyDescent="0.3">
      <c r="A214" s="17"/>
      <c r="B214" s="78" t="s">
        <v>237</v>
      </c>
      <c r="C214" s="79"/>
      <c r="D214" s="79"/>
      <c r="E214" s="79"/>
      <c r="F214" s="79"/>
      <c r="G214" s="86">
        <v>15909</v>
      </c>
      <c r="H214" s="87"/>
      <c r="I214" s="108" t="s">
        <v>229</v>
      </c>
      <c r="J214" s="59"/>
      <c r="K214" s="17"/>
      <c r="L214" s="78" t="s">
        <v>237</v>
      </c>
      <c r="M214" s="79"/>
      <c r="N214" s="79"/>
      <c r="O214" s="79"/>
      <c r="P214" s="79"/>
      <c r="Q214" s="86">
        <v>3282</v>
      </c>
      <c r="R214" s="87"/>
      <c r="S214" s="108" t="s">
        <v>229</v>
      </c>
    </row>
    <row r="215" spans="1:19" ht="15.75" customHeight="1" thickBot="1" x14ac:dyDescent="0.3">
      <c r="A215" s="18"/>
      <c r="B215" s="110" t="s">
        <v>238</v>
      </c>
      <c r="C215" s="111"/>
      <c r="D215" s="111"/>
      <c r="E215" s="111"/>
      <c r="F215" s="111"/>
      <c r="G215" s="90"/>
      <c r="H215" s="91"/>
      <c r="I215" s="109"/>
      <c r="J215" s="59"/>
      <c r="K215" s="18"/>
      <c r="L215" s="110" t="s">
        <v>238</v>
      </c>
      <c r="M215" s="111"/>
      <c r="N215" s="111"/>
      <c r="O215" s="111"/>
      <c r="P215" s="111"/>
      <c r="Q215" s="90"/>
      <c r="R215" s="91"/>
      <c r="S215" s="109"/>
    </row>
    <row r="216" spans="1:19" ht="22.5" customHeight="1" thickBot="1" x14ac:dyDescent="0.3">
      <c r="A216" s="19"/>
      <c r="B216" s="112" t="s">
        <v>239</v>
      </c>
      <c r="C216" s="113"/>
      <c r="D216" s="113"/>
      <c r="E216" s="113"/>
      <c r="F216" s="113"/>
      <c r="G216" s="114">
        <f>SUM(G195:H215)</f>
        <v>113808.45600000001</v>
      </c>
      <c r="H216" s="115"/>
      <c r="I216" s="20"/>
      <c r="J216" s="58"/>
      <c r="K216" s="19"/>
      <c r="L216" s="112" t="s">
        <v>239</v>
      </c>
      <c r="M216" s="113"/>
      <c r="N216" s="113"/>
      <c r="O216" s="113"/>
      <c r="P216" s="113"/>
      <c r="Q216" s="114">
        <f>SUM(Q195:R215)</f>
        <v>138194.78640000001</v>
      </c>
      <c r="R216" s="115"/>
      <c r="S216" s="20"/>
    </row>
    <row r="217" spans="1:19" ht="22.5" customHeight="1" thickBot="1" x14ac:dyDescent="0.3">
      <c r="A217" s="21"/>
      <c r="B217" s="101" t="s">
        <v>240</v>
      </c>
      <c r="C217" s="102"/>
      <c r="D217" s="102"/>
      <c r="E217" s="102"/>
      <c r="F217" s="102"/>
      <c r="G217" s="116">
        <f>G216*1.2</f>
        <v>136570.14720000001</v>
      </c>
      <c r="H217" s="117"/>
      <c r="I217" s="22"/>
      <c r="J217" s="45"/>
      <c r="K217" s="21"/>
      <c r="L217" s="101" t="s">
        <v>240</v>
      </c>
      <c r="M217" s="102"/>
      <c r="N217" s="102"/>
      <c r="O217" s="102"/>
      <c r="P217" s="102"/>
      <c r="Q217" s="116">
        <f>Q216*1.2</f>
        <v>165833.74368000001</v>
      </c>
      <c r="R217" s="117"/>
      <c r="S217" s="22"/>
    </row>
    <row r="218" spans="1:19" ht="22.5" customHeight="1" thickBot="1" x14ac:dyDescent="0.3">
      <c r="A218" s="24"/>
      <c r="B218" s="96" t="s">
        <v>443</v>
      </c>
      <c r="C218" s="97"/>
      <c r="D218" s="97"/>
      <c r="E218" s="97"/>
      <c r="F218" s="97"/>
      <c r="G218" s="311">
        <v>129101.4</v>
      </c>
      <c r="H218" s="312"/>
      <c r="I218" s="313"/>
      <c r="J218" s="41"/>
      <c r="K218" s="24"/>
      <c r="L218" s="96" t="s">
        <v>443</v>
      </c>
      <c r="M218" s="97"/>
      <c r="N218" s="97"/>
      <c r="O218" s="97"/>
      <c r="P218" s="97"/>
      <c r="Q218" s="311">
        <v>170410.68</v>
      </c>
      <c r="R218" s="312"/>
      <c r="S218" s="313"/>
    </row>
    <row r="219" spans="1:19" ht="22.5" customHeight="1" thickBot="1" x14ac:dyDescent="0.3">
      <c r="A219" s="19"/>
      <c r="B219" s="101" t="s">
        <v>242</v>
      </c>
      <c r="C219" s="102"/>
      <c r="D219" s="102"/>
      <c r="E219" s="102"/>
      <c r="F219" s="102"/>
      <c r="G219" s="307">
        <v>136123.51</v>
      </c>
      <c r="H219" s="308"/>
      <c r="I219" s="309"/>
      <c r="J219" s="41"/>
      <c r="K219" s="19"/>
      <c r="L219" s="101" t="s">
        <v>242</v>
      </c>
      <c r="M219" s="102"/>
      <c r="N219" s="102"/>
      <c r="O219" s="102"/>
      <c r="P219" s="102"/>
      <c r="Q219" s="307">
        <v>170142.13</v>
      </c>
      <c r="R219" s="308"/>
      <c r="S219" s="309"/>
    </row>
    <row r="220" spans="1:19" ht="22.5" customHeight="1" thickBot="1" x14ac:dyDescent="0.3">
      <c r="A220" s="19"/>
      <c r="B220" s="106" t="s">
        <v>444</v>
      </c>
      <c r="C220" s="107"/>
      <c r="D220" s="107"/>
      <c r="E220" s="107"/>
      <c r="F220" s="107"/>
      <c r="G220" s="307">
        <v>14206.66</v>
      </c>
      <c r="H220" s="308"/>
      <c r="I220" s="309"/>
      <c r="J220" s="64"/>
      <c r="K220" s="19"/>
      <c r="L220" s="106" t="s">
        <v>444</v>
      </c>
      <c r="M220" s="107"/>
      <c r="N220" s="107"/>
      <c r="O220" s="107"/>
      <c r="P220" s="107"/>
      <c r="Q220" s="307">
        <v>51776.58</v>
      </c>
      <c r="R220" s="308"/>
      <c r="S220" s="309"/>
    </row>
    <row r="221" spans="1:19" ht="32.1" customHeight="1" x14ac:dyDescent="0.25">
      <c r="A221" s="4"/>
      <c r="B221" s="195" t="s">
        <v>500</v>
      </c>
      <c r="C221" s="195"/>
      <c r="D221" s="195"/>
      <c r="E221" s="195"/>
      <c r="F221" s="195"/>
      <c r="G221" s="195"/>
      <c r="H221" s="195"/>
      <c r="I221" s="195"/>
      <c r="K221" s="4"/>
      <c r="L221" s="314"/>
      <c r="M221" s="314"/>
      <c r="N221" s="314"/>
      <c r="O221" s="314"/>
      <c r="P221" s="314"/>
      <c r="Q221" s="314"/>
      <c r="R221" s="314"/>
      <c r="S221" s="314"/>
    </row>
    <row r="222" spans="1:19" ht="15.75" x14ac:dyDescent="0.25">
      <c r="A222" s="3"/>
      <c r="C222" s="30"/>
      <c r="K222" s="3"/>
      <c r="M222" s="30"/>
    </row>
    <row r="223" spans="1:19" ht="15.75" x14ac:dyDescent="0.25">
      <c r="A223" s="30"/>
      <c r="C223" s="30"/>
      <c r="K223" s="30"/>
      <c r="M223" s="30"/>
    </row>
    <row r="224" spans="1:19" ht="15.75" x14ac:dyDescent="0.25">
      <c r="A224" s="30"/>
      <c r="C224" s="30"/>
    </row>
    <row r="225" spans="1:9" ht="15.75" x14ac:dyDescent="0.25">
      <c r="C225" s="30"/>
    </row>
    <row r="227" spans="1:9" x14ac:dyDescent="0.25">
      <c r="A227" s="3"/>
      <c r="B227" s="3"/>
      <c r="C227" s="3"/>
      <c r="D227" s="3"/>
      <c r="E227" s="4" t="s">
        <v>204</v>
      </c>
      <c r="F227" s="3"/>
      <c r="G227" s="3"/>
      <c r="H227" s="3"/>
      <c r="I227" s="3"/>
    </row>
    <row r="228" spans="1:9" x14ac:dyDescent="0.25">
      <c r="A228" s="3" t="s">
        <v>205</v>
      </c>
      <c r="B228" s="3"/>
      <c r="C228" s="3"/>
      <c r="D228" s="3" t="s">
        <v>285</v>
      </c>
      <c r="E228" s="3"/>
      <c r="F228" s="3"/>
      <c r="G228" s="3"/>
      <c r="H228" s="3"/>
      <c r="I228" s="3"/>
    </row>
    <row r="229" spans="1:9" x14ac:dyDescent="0.25">
      <c r="A229" s="3"/>
      <c r="B229" s="5" t="s">
        <v>440</v>
      </c>
      <c r="C229" s="3"/>
      <c r="D229" s="3"/>
      <c r="E229" s="3"/>
      <c r="F229" s="3"/>
      <c r="G229" s="3"/>
      <c r="H229" s="3"/>
      <c r="I229" s="3"/>
    </row>
    <row r="230" spans="1:9" x14ac:dyDescent="0.25">
      <c r="A230" s="3"/>
      <c r="B230" s="5" t="s">
        <v>206</v>
      </c>
      <c r="C230" s="3"/>
      <c r="D230" s="3"/>
      <c r="E230" s="3"/>
      <c r="F230" s="3">
        <v>2707.8</v>
      </c>
      <c r="G230" s="3" t="s">
        <v>207</v>
      </c>
      <c r="H230" s="3"/>
      <c r="I230" s="3"/>
    </row>
    <row r="231" spans="1:9" ht="15.75" thickBot="1" x14ac:dyDescent="0.3">
      <c r="A231" s="3"/>
      <c r="B231" s="3"/>
      <c r="C231" s="3"/>
      <c r="D231" s="4"/>
      <c r="E231" s="4"/>
      <c r="F231" s="3"/>
      <c r="G231" s="3"/>
      <c r="H231" s="3"/>
      <c r="I231" s="3"/>
    </row>
    <row r="232" spans="1:9" ht="15" customHeight="1" x14ac:dyDescent="0.25">
      <c r="A232" s="175" t="s">
        <v>209</v>
      </c>
      <c r="B232" s="177" t="s">
        <v>210</v>
      </c>
      <c r="C232" s="178"/>
      <c r="D232" s="178"/>
      <c r="E232" s="178"/>
      <c r="F232" s="178"/>
      <c r="G232" s="180" t="s">
        <v>441</v>
      </c>
      <c r="H232" s="181"/>
      <c r="I232" s="175" t="s">
        <v>212</v>
      </c>
    </row>
    <row r="233" spans="1:9" ht="54" customHeight="1" thickBot="1" x14ac:dyDescent="0.3">
      <c r="A233" s="176"/>
      <c r="B233" s="179"/>
      <c r="C233" s="179"/>
      <c r="D233" s="179"/>
      <c r="E233" s="179"/>
      <c r="F233" s="179"/>
      <c r="G233" s="182"/>
      <c r="H233" s="183"/>
      <c r="I233" s="184"/>
    </row>
    <row r="234" spans="1:9" ht="15" customHeight="1" x14ac:dyDescent="0.25">
      <c r="A234" s="185" t="s">
        <v>213</v>
      </c>
      <c r="B234" s="187" t="s">
        <v>354</v>
      </c>
      <c r="C234" s="188"/>
      <c r="D234" s="188"/>
      <c r="E234" s="188"/>
      <c r="F234" s="188"/>
      <c r="G234" s="190">
        <v>39628.33</v>
      </c>
      <c r="H234" s="191"/>
      <c r="I234" s="192"/>
    </row>
    <row r="235" spans="1:9" ht="15.75" thickBot="1" x14ac:dyDescent="0.3">
      <c r="A235" s="186"/>
      <c r="B235" s="189"/>
      <c r="C235" s="189"/>
      <c r="D235" s="189"/>
      <c r="E235" s="189"/>
      <c r="F235" s="189"/>
      <c r="G235" s="193"/>
      <c r="H235" s="194"/>
      <c r="I235" s="128"/>
    </row>
    <row r="236" spans="1:9" x14ac:dyDescent="0.25">
      <c r="A236" s="6"/>
      <c r="B236" s="161" t="s">
        <v>214</v>
      </c>
      <c r="C236" s="162"/>
      <c r="D236" s="162"/>
      <c r="E236" s="162"/>
      <c r="F236" s="162"/>
      <c r="G236" s="163">
        <f>1.2*12*F230</f>
        <v>38992.32</v>
      </c>
      <c r="H236" s="164"/>
      <c r="I236" s="169" t="s">
        <v>215</v>
      </c>
    </row>
    <row r="237" spans="1:9" ht="36" customHeight="1" thickBot="1" x14ac:dyDescent="0.3">
      <c r="A237" s="7"/>
      <c r="B237" s="171" t="s">
        <v>216</v>
      </c>
      <c r="C237" s="172"/>
      <c r="D237" s="172"/>
      <c r="E237" s="172"/>
      <c r="F237" s="172"/>
      <c r="G237" s="165"/>
      <c r="H237" s="166"/>
      <c r="I237" s="170"/>
    </row>
    <row r="238" spans="1:9" ht="15.75" thickBot="1" x14ac:dyDescent="0.3">
      <c r="A238" s="7"/>
      <c r="B238" s="173" t="s">
        <v>217</v>
      </c>
      <c r="C238" s="174"/>
      <c r="D238" s="174"/>
      <c r="E238" s="174"/>
      <c r="F238" s="174"/>
      <c r="G238" s="167"/>
      <c r="H238" s="168"/>
      <c r="I238" s="8" t="s">
        <v>218</v>
      </c>
    </row>
    <row r="239" spans="1:9" ht="15.75" thickBot="1" x14ac:dyDescent="0.3">
      <c r="A239" s="7"/>
      <c r="B239" s="141" t="s">
        <v>219</v>
      </c>
      <c r="C239" s="142"/>
      <c r="D239" s="142"/>
      <c r="E239" s="142"/>
      <c r="F239" s="142"/>
      <c r="G239" s="143">
        <v>0</v>
      </c>
      <c r="H239" s="144"/>
      <c r="I239" s="8" t="s">
        <v>220</v>
      </c>
    </row>
    <row r="240" spans="1:9" ht="15.75" thickBot="1" x14ac:dyDescent="0.3">
      <c r="A240" s="7"/>
      <c r="B240" s="141" t="s">
        <v>221</v>
      </c>
      <c r="C240" s="142"/>
      <c r="D240" s="142"/>
      <c r="E240" s="142"/>
      <c r="F240" s="142"/>
      <c r="G240" s="143">
        <f>0.474*F230</f>
        <v>1283.4972</v>
      </c>
      <c r="H240" s="144"/>
      <c r="I240" s="8" t="s">
        <v>222</v>
      </c>
    </row>
    <row r="241" spans="1:9" x14ac:dyDescent="0.25">
      <c r="A241" s="9"/>
      <c r="B241" s="145" t="s">
        <v>223</v>
      </c>
      <c r="C241" s="146"/>
      <c r="D241" s="146"/>
      <c r="E241" s="146"/>
      <c r="F241" s="146"/>
      <c r="G241" s="86">
        <f>1.92*12*F230</f>
        <v>62387.712</v>
      </c>
      <c r="H241" s="147"/>
      <c r="I241" s="152" t="s">
        <v>224</v>
      </c>
    </row>
    <row r="242" spans="1:9" x14ac:dyDescent="0.25">
      <c r="A242" s="10"/>
      <c r="B242" s="155" t="s">
        <v>226</v>
      </c>
      <c r="C242" s="156"/>
      <c r="D242" s="156"/>
      <c r="E242" s="156"/>
      <c r="F242" s="156"/>
      <c r="G242" s="148"/>
      <c r="H242" s="149"/>
      <c r="I242" s="153"/>
    </row>
    <row r="243" spans="1:9" ht="15.75" thickBot="1" x14ac:dyDescent="0.3">
      <c r="A243" s="10"/>
      <c r="B243" s="157" t="s">
        <v>227</v>
      </c>
      <c r="C243" s="158"/>
      <c r="D243" s="158"/>
      <c r="E243" s="158"/>
      <c r="F243" s="158"/>
      <c r="G243" s="148"/>
      <c r="H243" s="149"/>
      <c r="I243" s="154"/>
    </row>
    <row r="244" spans="1:9" ht="15.75" thickBot="1" x14ac:dyDescent="0.3">
      <c r="A244" s="10"/>
      <c r="B244" s="159" t="s">
        <v>228</v>
      </c>
      <c r="C244" s="160"/>
      <c r="D244" s="160"/>
      <c r="E244" s="160"/>
      <c r="F244" s="160"/>
      <c r="G244" s="150"/>
      <c r="H244" s="151"/>
      <c r="I244" s="11" t="s">
        <v>229</v>
      </c>
    </row>
    <row r="245" spans="1:9" x14ac:dyDescent="0.25">
      <c r="A245" s="12"/>
      <c r="B245" s="125" t="s">
        <v>230</v>
      </c>
      <c r="C245" s="126"/>
      <c r="D245" s="126"/>
      <c r="E245" s="126"/>
      <c r="F245" s="126"/>
      <c r="G245" s="86">
        <f>0.048*12*F230</f>
        <v>1559.6928000000003</v>
      </c>
      <c r="H245" s="87"/>
      <c r="I245" s="129" t="s">
        <v>220</v>
      </c>
    </row>
    <row r="246" spans="1:9" ht="15.75" thickBot="1" x14ac:dyDescent="0.3">
      <c r="A246" s="7"/>
      <c r="B246" s="131" t="s">
        <v>231</v>
      </c>
      <c r="C246" s="132"/>
      <c r="D246" s="132"/>
      <c r="E246" s="132"/>
      <c r="F246" s="132"/>
      <c r="G246" s="127"/>
      <c r="H246" s="128"/>
      <c r="I246" s="130"/>
    </row>
    <row r="247" spans="1:9" ht="15.75" thickBot="1" x14ac:dyDescent="0.3">
      <c r="A247" s="13"/>
      <c r="B247" s="133" t="s">
        <v>232</v>
      </c>
      <c r="C247" s="134"/>
      <c r="D247" s="134"/>
      <c r="E247" s="134"/>
      <c r="F247" s="134"/>
      <c r="G247" s="135"/>
      <c r="H247" s="136"/>
      <c r="I247" s="14"/>
    </row>
    <row r="248" spans="1:9" ht="15.75" thickBot="1" x14ac:dyDescent="0.3">
      <c r="A248" s="13"/>
      <c r="B248" s="84" t="s">
        <v>233</v>
      </c>
      <c r="C248" s="85"/>
      <c r="D248" s="85"/>
      <c r="E248" s="85"/>
      <c r="F248" s="85"/>
      <c r="G248" s="86">
        <f>1.65*12*F230</f>
        <v>53614.439999999995</v>
      </c>
      <c r="H248" s="87"/>
      <c r="I248" s="299" t="s">
        <v>503</v>
      </c>
    </row>
    <row r="249" spans="1:9" ht="49.5" customHeight="1" x14ac:dyDescent="0.25">
      <c r="A249" s="118"/>
      <c r="B249" s="121" t="s">
        <v>226</v>
      </c>
      <c r="C249" s="122"/>
      <c r="D249" s="122"/>
      <c r="E249" s="122"/>
      <c r="F249" s="122"/>
      <c r="G249" s="88"/>
      <c r="H249" s="89"/>
      <c r="I249" s="300"/>
    </row>
    <row r="250" spans="1:9" ht="43.5" customHeight="1" x14ac:dyDescent="0.25">
      <c r="A250" s="119"/>
      <c r="B250" s="121" t="s">
        <v>227</v>
      </c>
      <c r="C250" s="122"/>
      <c r="D250" s="122"/>
      <c r="E250" s="122"/>
      <c r="F250" s="122"/>
      <c r="G250" s="88"/>
      <c r="H250" s="89"/>
      <c r="I250" s="300"/>
    </row>
    <row r="251" spans="1:9" ht="48.75" customHeight="1" x14ac:dyDescent="0.25">
      <c r="A251" s="119"/>
      <c r="B251" s="121" t="s">
        <v>228</v>
      </c>
      <c r="C251" s="122"/>
      <c r="D251" s="122"/>
      <c r="E251" s="122"/>
      <c r="F251" s="122"/>
      <c r="G251" s="88"/>
      <c r="H251" s="89"/>
      <c r="I251" s="300"/>
    </row>
    <row r="252" spans="1:9" ht="92.25" customHeight="1" thickBot="1" x14ac:dyDescent="0.3">
      <c r="A252" s="120"/>
      <c r="B252" s="123" t="s">
        <v>234</v>
      </c>
      <c r="C252" s="124"/>
      <c r="D252" s="124"/>
      <c r="E252" s="124"/>
      <c r="F252" s="124"/>
      <c r="G252" s="90"/>
      <c r="H252" s="91"/>
      <c r="I252" s="301"/>
    </row>
    <row r="253" spans="1:9" ht="13.5" hidden="1" customHeight="1" x14ac:dyDescent="0.25">
      <c r="A253" s="15"/>
      <c r="B253" s="137" t="s">
        <v>248</v>
      </c>
      <c r="C253" s="138"/>
      <c r="D253" s="138"/>
      <c r="E253" s="138"/>
      <c r="F253" s="138"/>
      <c r="G253" s="139"/>
      <c r="H253" s="140"/>
      <c r="I253" s="16"/>
    </row>
    <row r="254" spans="1:9" ht="0.75" customHeight="1" thickBot="1" x14ac:dyDescent="0.3">
      <c r="A254" s="15"/>
      <c r="B254" s="137" t="s">
        <v>235</v>
      </c>
      <c r="C254" s="138"/>
      <c r="D254" s="138"/>
      <c r="E254" s="138"/>
      <c r="F254" s="138"/>
      <c r="G254" s="139"/>
      <c r="H254" s="140"/>
      <c r="I254" s="16"/>
    </row>
    <row r="255" spans="1:9" ht="36.75" customHeight="1" thickBot="1" x14ac:dyDescent="0.3">
      <c r="A255" s="17"/>
      <c r="B255" s="78" t="s">
        <v>237</v>
      </c>
      <c r="C255" s="79"/>
      <c r="D255" s="79"/>
      <c r="E255" s="79"/>
      <c r="F255" s="79"/>
      <c r="G255" s="86">
        <v>2871</v>
      </c>
      <c r="H255" s="87"/>
      <c r="I255" s="108" t="s">
        <v>229</v>
      </c>
    </row>
    <row r="256" spans="1:9" ht="15.75" thickBot="1" x14ac:dyDescent="0.3">
      <c r="A256" s="18"/>
      <c r="B256" s="110" t="s">
        <v>238</v>
      </c>
      <c r="C256" s="111"/>
      <c r="D256" s="111"/>
      <c r="E256" s="111"/>
      <c r="F256" s="111"/>
      <c r="G256" s="90"/>
      <c r="H256" s="91"/>
      <c r="I256" s="109"/>
    </row>
    <row r="257" spans="1:9" ht="15.75" thickBot="1" x14ac:dyDescent="0.3">
      <c r="A257" s="19"/>
      <c r="B257" s="112" t="s">
        <v>239</v>
      </c>
      <c r="C257" s="113"/>
      <c r="D257" s="113"/>
      <c r="E257" s="113"/>
      <c r="F257" s="113"/>
      <c r="G257" s="114">
        <f>SUM(G236:H256)</f>
        <v>160708.66199999998</v>
      </c>
      <c r="H257" s="115"/>
      <c r="I257" s="20"/>
    </row>
    <row r="258" spans="1:9" ht="27.75" customHeight="1" thickBot="1" x14ac:dyDescent="0.3">
      <c r="A258" s="21"/>
      <c r="B258" s="101" t="s">
        <v>240</v>
      </c>
      <c r="C258" s="102"/>
      <c r="D258" s="102"/>
      <c r="E258" s="102"/>
      <c r="F258" s="102"/>
      <c r="G258" s="116">
        <f>G257*1.2</f>
        <v>192850.39439999996</v>
      </c>
      <c r="H258" s="117"/>
      <c r="I258" s="22"/>
    </row>
    <row r="259" spans="1:9" ht="27.75" customHeight="1" thickBot="1" x14ac:dyDescent="0.3">
      <c r="A259" s="24"/>
      <c r="B259" s="96" t="s">
        <v>443</v>
      </c>
      <c r="C259" s="97"/>
      <c r="D259" s="97"/>
      <c r="E259" s="97"/>
      <c r="F259" s="97"/>
      <c r="G259" s="311">
        <v>183658.93</v>
      </c>
      <c r="H259" s="312"/>
      <c r="I259" s="313"/>
    </row>
    <row r="260" spans="1:9" ht="27.75" customHeight="1" thickBot="1" x14ac:dyDescent="0.3">
      <c r="A260" s="19"/>
      <c r="B260" s="101" t="s">
        <v>242</v>
      </c>
      <c r="C260" s="102"/>
      <c r="D260" s="102"/>
      <c r="E260" s="102"/>
      <c r="F260" s="102"/>
      <c r="G260" s="307">
        <v>187882.83</v>
      </c>
      <c r="H260" s="308"/>
      <c r="I260" s="309"/>
    </row>
    <row r="261" spans="1:9" ht="27.75" customHeight="1" thickBot="1" x14ac:dyDescent="0.3">
      <c r="A261" s="19"/>
      <c r="B261" s="106" t="s">
        <v>444</v>
      </c>
      <c r="C261" s="107"/>
      <c r="D261" s="107"/>
      <c r="E261" s="107"/>
      <c r="F261" s="107"/>
      <c r="G261" s="307">
        <v>35404.43</v>
      </c>
      <c r="H261" s="308"/>
      <c r="I261" s="309"/>
    </row>
    <row r="262" spans="1:9" ht="33.75" customHeight="1" x14ac:dyDescent="0.25">
      <c r="A262" s="4"/>
      <c r="B262" s="195" t="s">
        <v>286</v>
      </c>
      <c r="C262" s="195"/>
      <c r="D262" s="195"/>
      <c r="E262" s="195"/>
      <c r="F262" s="195"/>
      <c r="G262" s="195"/>
      <c r="H262" s="195"/>
      <c r="I262" s="195"/>
    </row>
    <row r="263" spans="1:9" x14ac:dyDescent="0.25">
      <c r="E263" s="50"/>
      <c r="I263" s="5"/>
    </row>
    <row r="264" spans="1:9" x14ac:dyDescent="0.25">
      <c r="A264" s="3"/>
      <c r="I264" s="5"/>
    </row>
    <row r="265" spans="1:9" ht="15.75" x14ac:dyDescent="0.25">
      <c r="A265" s="3"/>
      <c r="C265" s="30"/>
    </row>
    <row r="266" spans="1:9" ht="15.75" x14ac:dyDescent="0.25">
      <c r="A266" s="30"/>
      <c r="C266" s="30"/>
    </row>
  </sheetData>
  <mergeCells count="712">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S28:S29"/>
    <mergeCell ref="B29:F29"/>
    <mergeCell ref="L29:P29"/>
    <mergeCell ref="B26:F26"/>
    <mergeCell ref="G26:H26"/>
    <mergeCell ref="L26:P26"/>
    <mergeCell ref="Q26:R26"/>
    <mergeCell ref="B27:F27"/>
    <mergeCell ref="G27:H27"/>
    <mergeCell ref="L27:P27"/>
    <mergeCell ref="Q27:R27"/>
    <mergeCell ref="B30:F30"/>
    <mergeCell ref="G30:H30"/>
    <mergeCell ref="L30:P30"/>
    <mergeCell ref="Q30:R30"/>
    <mergeCell ref="B31:F31"/>
    <mergeCell ref="G31:H31"/>
    <mergeCell ref="L31:P31"/>
    <mergeCell ref="Q31:R31"/>
    <mergeCell ref="B28:F28"/>
    <mergeCell ref="G28:H29"/>
    <mergeCell ref="I28:I29"/>
    <mergeCell ref="L28:P28"/>
    <mergeCell ref="Q28:R29"/>
    <mergeCell ref="B34:F34"/>
    <mergeCell ref="G34:I34"/>
    <mergeCell ref="L34:P34"/>
    <mergeCell ref="Q34:S34"/>
    <mergeCell ref="B35:I35"/>
    <mergeCell ref="L35:S35"/>
    <mergeCell ref="B32:F32"/>
    <mergeCell ref="G32:I32"/>
    <mergeCell ref="L32:P32"/>
    <mergeCell ref="Q32:S32"/>
    <mergeCell ref="B33:F33"/>
    <mergeCell ref="G33:I33"/>
    <mergeCell ref="L33:P33"/>
    <mergeCell ref="Q33:S33"/>
    <mergeCell ref="Q42:R43"/>
    <mergeCell ref="S42:S43"/>
    <mergeCell ref="A44:A45"/>
    <mergeCell ref="B44:F45"/>
    <mergeCell ref="G44:I45"/>
    <mergeCell ref="K44:K45"/>
    <mergeCell ref="L44:P45"/>
    <mergeCell ref="Q44:S45"/>
    <mergeCell ref="A42:A43"/>
    <mergeCell ref="B42:F43"/>
    <mergeCell ref="G42:H43"/>
    <mergeCell ref="I42:I43"/>
    <mergeCell ref="K42:K43"/>
    <mergeCell ref="L42:P43"/>
    <mergeCell ref="B46:F46"/>
    <mergeCell ref="G46:H48"/>
    <mergeCell ref="I46:I47"/>
    <mergeCell ref="L46:P46"/>
    <mergeCell ref="Q46:R48"/>
    <mergeCell ref="S46:S47"/>
    <mergeCell ref="B47:F47"/>
    <mergeCell ref="L47:P47"/>
    <mergeCell ref="B48:F48"/>
    <mergeCell ref="L48:P48"/>
    <mergeCell ref="B53:F53"/>
    <mergeCell ref="L53:P53"/>
    <mergeCell ref="B49:F49"/>
    <mergeCell ref="G49:H49"/>
    <mergeCell ref="L49:P49"/>
    <mergeCell ref="Q49:R49"/>
    <mergeCell ref="B50:F50"/>
    <mergeCell ref="G50:H50"/>
    <mergeCell ref="L50:P50"/>
    <mergeCell ref="Q50:R50"/>
    <mergeCell ref="B51:F51"/>
    <mergeCell ref="G51:H54"/>
    <mergeCell ref="I51:I53"/>
    <mergeCell ref="L51:P51"/>
    <mergeCell ref="B58:F58"/>
    <mergeCell ref="G58:H62"/>
    <mergeCell ref="I58:I62"/>
    <mergeCell ref="L58:P58"/>
    <mergeCell ref="Q51:R54"/>
    <mergeCell ref="B54:F54"/>
    <mergeCell ref="L54:P54"/>
    <mergeCell ref="Q58:R62"/>
    <mergeCell ref="S58:S62"/>
    <mergeCell ref="Q55:R56"/>
    <mergeCell ref="S55:S56"/>
    <mergeCell ref="B56:F56"/>
    <mergeCell ref="L56:P56"/>
    <mergeCell ref="B57:F57"/>
    <mergeCell ref="G57:H57"/>
    <mergeCell ref="L57:P57"/>
    <mergeCell ref="Q57:R57"/>
    <mergeCell ref="B55:F55"/>
    <mergeCell ref="G55:H56"/>
    <mergeCell ref="I55:I56"/>
    <mergeCell ref="L55:P55"/>
    <mergeCell ref="S51:S53"/>
    <mergeCell ref="B52:F52"/>
    <mergeCell ref="L52:P52"/>
    <mergeCell ref="A59:A62"/>
    <mergeCell ref="B59:F59"/>
    <mergeCell ref="K59:K62"/>
    <mergeCell ref="L59:P59"/>
    <mergeCell ref="B60:F60"/>
    <mergeCell ref="L60:P60"/>
    <mergeCell ref="B61:F61"/>
    <mergeCell ref="L61:P61"/>
    <mergeCell ref="B62:F62"/>
    <mergeCell ref="L62:P62"/>
    <mergeCell ref="S65:S66"/>
    <mergeCell ref="B66:F66"/>
    <mergeCell ref="L66:P66"/>
    <mergeCell ref="B63:F63"/>
    <mergeCell ref="G63:H63"/>
    <mergeCell ref="L63:P63"/>
    <mergeCell ref="Q63:R63"/>
    <mergeCell ref="B64:F64"/>
    <mergeCell ref="G64:H64"/>
    <mergeCell ref="L64:P64"/>
    <mergeCell ref="Q64:R64"/>
    <mergeCell ref="B67:F67"/>
    <mergeCell ref="G67:H67"/>
    <mergeCell ref="L67:P67"/>
    <mergeCell ref="Q67:R67"/>
    <mergeCell ref="B68:F68"/>
    <mergeCell ref="G68:H68"/>
    <mergeCell ref="L68:P68"/>
    <mergeCell ref="Q68:R68"/>
    <mergeCell ref="B65:F65"/>
    <mergeCell ref="G65:H66"/>
    <mergeCell ref="I65:I66"/>
    <mergeCell ref="L65:P65"/>
    <mergeCell ref="Q65:R66"/>
    <mergeCell ref="B71:F71"/>
    <mergeCell ref="G71:I71"/>
    <mergeCell ref="L71:P71"/>
    <mergeCell ref="Q71:S71"/>
    <mergeCell ref="B72:I72"/>
    <mergeCell ref="L72:S72"/>
    <mergeCell ref="B69:F69"/>
    <mergeCell ref="G69:I69"/>
    <mergeCell ref="L69:P69"/>
    <mergeCell ref="Q69:S69"/>
    <mergeCell ref="B70:F70"/>
    <mergeCell ref="G70:I70"/>
    <mergeCell ref="L70:P70"/>
    <mergeCell ref="Q70:S70"/>
    <mergeCell ref="Q79:R80"/>
    <mergeCell ref="S79:S80"/>
    <mergeCell ref="A81:A82"/>
    <mergeCell ref="B81:F82"/>
    <mergeCell ref="G81:I82"/>
    <mergeCell ref="K81:K82"/>
    <mergeCell ref="L81:P82"/>
    <mergeCell ref="Q81:S82"/>
    <mergeCell ref="A79:A80"/>
    <mergeCell ref="B79:F80"/>
    <mergeCell ref="G79:H80"/>
    <mergeCell ref="I79:I80"/>
    <mergeCell ref="K79:K80"/>
    <mergeCell ref="L79:P80"/>
    <mergeCell ref="B83:F83"/>
    <mergeCell ref="G83:H85"/>
    <mergeCell ref="I83:I84"/>
    <mergeCell ref="L83:P83"/>
    <mergeCell ref="Q83:R85"/>
    <mergeCell ref="S83:S84"/>
    <mergeCell ref="B84:F84"/>
    <mergeCell ref="L84:P84"/>
    <mergeCell ref="B85:F85"/>
    <mergeCell ref="L85:P85"/>
    <mergeCell ref="B90:F90"/>
    <mergeCell ref="L90:P90"/>
    <mergeCell ref="B86:F86"/>
    <mergeCell ref="G86:H86"/>
    <mergeCell ref="L86:P86"/>
    <mergeCell ref="Q86:R86"/>
    <mergeCell ref="B87:F87"/>
    <mergeCell ref="G87:H87"/>
    <mergeCell ref="L87:P87"/>
    <mergeCell ref="Q87:R87"/>
    <mergeCell ref="B88:F88"/>
    <mergeCell ref="G88:H91"/>
    <mergeCell ref="I88:I90"/>
    <mergeCell ref="L88:P88"/>
    <mergeCell ref="B95:F95"/>
    <mergeCell ref="G95:H99"/>
    <mergeCell ref="I95:I99"/>
    <mergeCell ref="L95:P95"/>
    <mergeCell ref="Q88:R91"/>
    <mergeCell ref="B91:F91"/>
    <mergeCell ref="L91:P91"/>
    <mergeCell ref="Q95:R99"/>
    <mergeCell ref="S95:S99"/>
    <mergeCell ref="Q92:R93"/>
    <mergeCell ref="S92:S93"/>
    <mergeCell ref="B93:F93"/>
    <mergeCell ref="L93:P93"/>
    <mergeCell ref="B94:F94"/>
    <mergeCell ref="G94:H94"/>
    <mergeCell ref="L94:P94"/>
    <mergeCell ref="Q94:R94"/>
    <mergeCell ref="B92:F92"/>
    <mergeCell ref="G92:H93"/>
    <mergeCell ref="I92:I93"/>
    <mergeCell ref="L92:P92"/>
    <mergeCell ref="S88:S90"/>
    <mergeCell ref="B89:F89"/>
    <mergeCell ref="L89:P89"/>
    <mergeCell ref="A96:A99"/>
    <mergeCell ref="B96:F96"/>
    <mergeCell ref="K96:K99"/>
    <mergeCell ref="L96:P96"/>
    <mergeCell ref="B97:F97"/>
    <mergeCell ref="L97:P97"/>
    <mergeCell ref="B98:F98"/>
    <mergeCell ref="L98:P98"/>
    <mergeCell ref="B99:F99"/>
    <mergeCell ref="L99:P99"/>
    <mergeCell ref="S102:S103"/>
    <mergeCell ref="B103:F103"/>
    <mergeCell ref="L103:P103"/>
    <mergeCell ref="B100:F100"/>
    <mergeCell ref="G100:H100"/>
    <mergeCell ref="L100:P100"/>
    <mergeCell ref="Q100:R100"/>
    <mergeCell ref="B101:F101"/>
    <mergeCell ref="G101:H101"/>
    <mergeCell ref="L101:P101"/>
    <mergeCell ref="Q101:R101"/>
    <mergeCell ref="B104:F104"/>
    <mergeCell ref="G104:H104"/>
    <mergeCell ref="L104:P104"/>
    <mergeCell ref="Q104:R104"/>
    <mergeCell ref="B105:F105"/>
    <mergeCell ref="G105:H105"/>
    <mergeCell ref="L105:P105"/>
    <mergeCell ref="Q105:R105"/>
    <mergeCell ref="B102:F102"/>
    <mergeCell ref="G102:H103"/>
    <mergeCell ref="I102:I103"/>
    <mergeCell ref="L102:P102"/>
    <mergeCell ref="Q102:R103"/>
    <mergeCell ref="B108:F108"/>
    <mergeCell ref="G108:I108"/>
    <mergeCell ref="L108:P108"/>
    <mergeCell ref="Q108:S108"/>
    <mergeCell ref="B109:I109"/>
    <mergeCell ref="L109:S109"/>
    <mergeCell ref="B106:F106"/>
    <mergeCell ref="G106:I106"/>
    <mergeCell ref="L106:P106"/>
    <mergeCell ref="Q106:S106"/>
    <mergeCell ref="B107:F107"/>
    <mergeCell ref="G107:I107"/>
    <mergeCell ref="L107:P107"/>
    <mergeCell ref="Q107:S107"/>
    <mergeCell ref="Q116:R117"/>
    <mergeCell ref="S116:S117"/>
    <mergeCell ref="A118:A119"/>
    <mergeCell ref="B118:F119"/>
    <mergeCell ref="G118:I119"/>
    <mergeCell ref="K118:K119"/>
    <mergeCell ref="L118:P119"/>
    <mergeCell ref="Q118:S119"/>
    <mergeCell ref="A116:A117"/>
    <mergeCell ref="B116:F117"/>
    <mergeCell ref="G116:H117"/>
    <mergeCell ref="I116:I117"/>
    <mergeCell ref="K116:K117"/>
    <mergeCell ref="L116:P117"/>
    <mergeCell ref="B120:F120"/>
    <mergeCell ref="G120:H122"/>
    <mergeCell ref="I120:I121"/>
    <mergeCell ref="L120:P120"/>
    <mergeCell ref="Q120:R122"/>
    <mergeCell ref="S120:S121"/>
    <mergeCell ref="B121:F121"/>
    <mergeCell ref="L121:P121"/>
    <mergeCell ref="B122:F122"/>
    <mergeCell ref="L122:P122"/>
    <mergeCell ref="B127:F127"/>
    <mergeCell ref="L127:P127"/>
    <mergeCell ref="B123:F123"/>
    <mergeCell ref="G123:H123"/>
    <mergeCell ref="L123:P123"/>
    <mergeCell ref="Q123:R123"/>
    <mergeCell ref="B124:F124"/>
    <mergeCell ref="G124:H124"/>
    <mergeCell ref="L124:P124"/>
    <mergeCell ref="Q124:R124"/>
    <mergeCell ref="B125:F125"/>
    <mergeCell ref="G125:H128"/>
    <mergeCell ref="I125:I127"/>
    <mergeCell ref="L125:P125"/>
    <mergeCell ref="B132:F132"/>
    <mergeCell ref="G132:H136"/>
    <mergeCell ref="I132:I136"/>
    <mergeCell ref="L132:P132"/>
    <mergeCell ref="Q125:R128"/>
    <mergeCell ref="B128:F128"/>
    <mergeCell ref="L128:P128"/>
    <mergeCell ref="Q132:R136"/>
    <mergeCell ref="S132:S136"/>
    <mergeCell ref="Q129:R130"/>
    <mergeCell ref="S129:S130"/>
    <mergeCell ref="B130:F130"/>
    <mergeCell ref="L130:P130"/>
    <mergeCell ref="B131:F131"/>
    <mergeCell ref="G131:H131"/>
    <mergeCell ref="L131:P131"/>
    <mergeCell ref="Q131:R131"/>
    <mergeCell ref="B129:F129"/>
    <mergeCell ref="G129:H130"/>
    <mergeCell ref="I129:I130"/>
    <mergeCell ref="L129:P129"/>
    <mergeCell ref="S125:S127"/>
    <mergeCell ref="B126:F126"/>
    <mergeCell ref="L126:P126"/>
    <mergeCell ref="A133:A136"/>
    <mergeCell ref="B133:F133"/>
    <mergeCell ref="K133:K136"/>
    <mergeCell ref="L133:P133"/>
    <mergeCell ref="B134:F134"/>
    <mergeCell ref="L134:P134"/>
    <mergeCell ref="B135:F135"/>
    <mergeCell ref="L135:P135"/>
    <mergeCell ref="B136:F136"/>
    <mergeCell ref="L136:P136"/>
    <mergeCell ref="B139:F139"/>
    <mergeCell ref="G139:H140"/>
    <mergeCell ref="I139:I140"/>
    <mergeCell ref="L139:P139"/>
    <mergeCell ref="Q139:R140"/>
    <mergeCell ref="S139:S140"/>
    <mergeCell ref="B140:F140"/>
    <mergeCell ref="L140:P140"/>
    <mergeCell ref="B137:F137"/>
    <mergeCell ref="G137:H137"/>
    <mergeCell ref="L137:P137"/>
    <mergeCell ref="Q137:R137"/>
    <mergeCell ref="B138:F138"/>
    <mergeCell ref="G138:H138"/>
    <mergeCell ref="L138:P138"/>
    <mergeCell ref="Q138:R138"/>
    <mergeCell ref="B143:F143"/>
    <mergeCell ref="G143:I143"/>
    <mergeCell ref="L143:P143"/>
    <mergeCell ref="Q143:S143"/>
    <mergeCell ref="B144:F144"/>
    <mergeCell ref="G144:I144"/>
    <mergeCell ref="L144:P144"/>
    <mergeCell ref="Q144:S144"/>
    <mergeCell ref="B141:F141"/>
    <mergeCell ref="G141:H141"/>
    <mergeCell ref="L141:P141"/>
    <mergeCell ref="Q141:R141"/>
    <mergeCell ref="B142:F142"/>
    <mergeCell ref="G142:H142"/>
    <mergeCell ref="L142:P142"/>
    <mergeCell ref="Q142:R142"/>
    <mergeCell ref="B145:F145"/>
    <mergeCell ref="G145:I145"/>
    <mergeCell ref="L145:P145"/>
    <mergeCell ref="Q145:S145"/>
    <mergeCell ref="B146:I146"/>
    <mergeCell ref="A153:A154"/>
    <mergeCell ref="B153:F154"/>
    <mergeCell ref="G153:H154"/>
    <mergeCell ref="I153:I154"/>
    <mergeCell ref="K153:K154"/>
    <mergeCell ref="L153:P154"/>
    <mergeCell ref="Q153:R154"/>
    <mergeCell ref="S153:S154"/>
    <mergeCell ref="A155:A156"/>
    <mergeCell ref="B155:F156"/>
    <mergeCell ref="G155:I156"/>
    <mergeCell ref="K155:K156"/>
    <mergeCell ref="L155:P156"/>
    <mergeCell ref="Q155:S156"/>
    <mergeCell ref="B157:F157"/>
    <mergeCell ref="G157:H159"/>
    <mergeCell ref="I157:I158"/>
    <mergeCell ref="L157:P157"/>
    <mergeCell ref="Q157:R159"/>
    <mergeCell ref="S157:S158"/>
    <mergeCell ref="B158:F158"/>
    <mergeCell ref="L158:P158"/>
    <mergeCell ref="B159:F159"/>
    <mergeCell ref="L159:P159"/>
    <mergeCell ref="B164:F164"/>
    <mergeCell ref="L164:P164"/>
    <mergeCell ref="B160:F160"/>
    <mergeCell ref="G160:H160"/>
    <mergeCell ref="L160:P160"/>
    <mergeCell ref="Q160:R160"/>
    <mergeCell ref="B161:F161"/>
    <mergeCell ref="G161:H161"/>
    <mergeCell ref="L161:P161"/>
    <mergeCell ref="Q161:R161"/>
    <mergeCell ref="B162:F162"/>
    <mergeCell ref="G162:H165"/>
    <mergeCell ref="I162:I164"/>
    <mergeCell ref="L162:P162"/>
    <mergeCell ref="B169:F169"/>
    <mergeCell ref="G169:H173"/>
    <mergeCell ref="I169:I173"/>
    <mergeCell ref="L169:P169"/>
    <mergeCell ref="Q162:R165"/>
    <mergeCell ref="B165:F165"/>
    <mergeCell ref="L165:P165"/>
    <mergeCell ref="Q169:R173"/>
    <mergeCell ref="S169:S173"/>
    <mergeCell ref="Q166:R167"/>
    <mergeCell ref="S166:S167"/>
    <mergeCell ref="B167:F167"/>
    <mergeCell ref="L167:P167"/>
    <mergeCell ref="B168:F168"/>
    <mergeCell ref="G168:H168"/>
    <mergeCell ref="L168:P168"/>
    <mergeCell ref="Q168:R168"/>
    <mergeCell ref="B166:F166"/>
    <mergeCell ref="G166:H167"/>
    <mergeCell ref="I166:I167"/>
    <mergeCell ref="L166:P166"/>
    <mergeCell ref="S162:S164"/>
    <mergeCell ref="B163:F163"/>
    <mergeCell ref="L163:P163"/>
    <mergeCell ref="A170:A173"/>
    <mergeCell ref="B170:F170"/>
    <mergeCell ref="K170:K173"/>
    <mergeCell ref="L170:P170"/>
    <mergeCell ref="B171:F171"/>
    <mergeCell ref="L171:P171"/>
    <mergeCell ref="B172:F172"/>
    <mergeCell ref="L172:P172"/>
    <mergeCell ref="B173:F173"/>
    <mergeCell ref="L173:P173"/>
    <mergeCell ref="B176:F176"/>
    <mergeCell ref="G176:H177"/>
    <mergeCell ref="I176:I177"/>
    <mergeCell ref="L176:P176"/>
    <mergeCell ref="Q176:R177"/>
    <mergeCell ref="S176:S177"/>
    <mergeCell ref="B177:F177"/>
    <mergeCell ref="L177:P177"/>
    <mergeCell ref="B174:F174"/>
    <mergeCell ref="G174:H174"/>
    <mergeCell ref="L174:P174"/>
    <mergeCell ref="Q174:R174"/>
    <mergeCell ref="B175:F175"/>
    <mergeCell ref="G175:H175"/>
    <mergeCell ref="L175:P175"/>
    <mergeCell ref="Q175:R175"/>
    <mergeCell ref="B180:F180"/>
    <mergeCell ref="G180:I180"/>
    <mergeCell ref="L180:P180"/>
    <mergeCell ref="Q180:S180"/>
    <mergeCell ref="B181:F181"/>
    <mergeCell ref="G181:I181"/>
    <mergeCell ref="L181:P181"/>
    <mergeCell ref="Q181:S181"/>
    <mergeCell ref="B178:F178"/>
    <mergeCell ref="G178:H178"/>
    <mergeCell ref="L178:P178"/>
    <mergeCell ref="Q178:R178"/>
    <mergeCell ref="B179:F179"/>
    <mergeCell ref="G179:H179"/>
    <mergeCell ref="L179:P179"/>
    <mergeCell ref="Q179:R179"/>
    <mergeCell ref="Q191:R192"/>
    <mergeCell ref="S191:S192"/>
    <mergeCell ref="A193:A194"/>
    <mergeCell ref="B193:F194"/>
    <mergeCell ref="G193:I194"/>
    <mergeCell ref="K193:K194"/>
    <mergeCell ref="L193:P194"/>
    <mergeCell ref="Q193:S194"/>
    <mergeCell ref="B182:F182"/>
    <mergeCell ref="G182:I182"/>
    <mergeCell ref="L182:P182"/>
    <mergeCell ref="Q182:S182"/>
    <mergeCell ref="A191:A192"/>
    <mergeCell ref="B191:F192"/>
    <mergeCell ref="G191:H192"/>
    <mergeCell ref="I191:I192"/>
    <mergeCell ref="K191:K192"/>
    <mergeCell ref="L191:P192"/>
    <mergeCell ref="B195:F195"/>
    <mergeCell ref="G195:H197"/>
    <mergeCell ref="I195:I196"/>
    <mergeCell ref="L195:P195"/>
    <mergeCell ref="Q195:R197"/>
    <mergeCell ref="S195:S196"/>
    <mergeCell ref="B196:F196"/>
    <mergeCell ref="L196:P196"/>
    <mergeCell ref="B197:F197"/>
    <mergeCell ref="L197:P197"/>
    <mergeCell ref="B202:F202"/>
    <mergeCell ref="L202:P202"/>
    <mergeCell ref="B198:F198"/>
    <mergeCell ref="G198:H198"/>
    <mergeCell ref="L198:P198"/>
    <mergeCell ref="Q198:R198"/>
    <mergeCell ref="B199:F199"/>
    <mergeCell ref="G199:H199"/>
    <mergeCell ref="L199:P199"/>
    <mergeCell ref="Q199:R199"/>
    <mergeCell ref="B200:F200"/>
    <mergeCell ref="G200:H203"/>
    <mergeCell ref="I200:I202"/>
    <mergeCell ref="L200:P200"/>
    <mergeCell ref="B207:F207"/>
    <mergeCell ref="G207:H211"/>
    <mergeCell ref="I207:I211"/>
    <mergeCell ref="L207:P207"/>
    <mergeCell ref="Q200:R203"/>
    <mergeCell ref="B203:F203"/>
    <mergeCell ref="L203:P203"/>
    <mergeCell ref="Q207:R211"/>
    <mergeCell ref="S207:S211"/>
    <mergeCell ref="Q204:R205"/>
    <mergeCell ref="S204:S205"/>
    <mergeCell ref="B205:F205"/>
    <mergeCell ref="L205:P205"/>
    <mergeCell ref="B206:F206"/>
    <mergeCell ref="G206:H206"/>
    <mergeCell ref="L206:P206"/>
    <mergeCell ref="Q206:R206"/>
    <mergeCell ref="B204:F204"/>
    <mergeCell ref="G204:H205"/>
    <mergeCell ref="I204:I205"/>
    <mergeCell ref="L204:P204"/>
    <mergeCell ref="S200:S202"/>
    <mergeCell ref="B201:F201"/>
    <mergeCell ref="L201:P201"/>
    <mergeCell ref="A208:A211"/>
    <mergeCell ref="B208:F208"/>
    <mergeCell ref="K208:K211"/>
    <mergeCell ref="L208:P208"/>
    <mergeCell ref="B209:F209"/>
    <mergeCell ref="L209:P209"/>
    <mergeCell ref="B210:F210"/>
    <mergeCell ref="L210:P210"/>
    <mergeCell ref="B211:F211"/>
    <mergeCell ref="L211:P211"/>
    <mergeCell ref="B214:F214"/>
    <mergeCell ref="G214:H215"/>
    <mergeCell ref="I214:I215"/>
    <mergeCell ref="L214:P214"/>
    <mergeCell ref="Q214:R215"/>
    <mergeCell ref="S214:S215"/>
    <mergeCell ref="B215:F215"/>
    <mergeCell ref="L215:P215"/>
    <mergeCell ref="B212:F212"/>
    <mergeCell ref="G212:H212"/>
    <mergeCell ref="L212:P212"/>
    <mergeCell ref="Q212:R212"/>
    <mergeCell ref="B213:F213"/>
    <mergeCell ref="G213:H213"/>
    <mergeCell ref="L213:P213"/>
    <mergeCell ref="Q213:R213"/>
    <mergeCell ref="B218:F218"/>
    <mergeCell ref="G218:I218"/>
    <mergeCell ref="L218:P218"/>
    <mergeCell ref="Q218:S218"/>
    <mergeCell ref="B219:F219"/>
    <mergeCell ref="G219:I219"/>
    <mergeCell ref="L219:P219"/>
    <mergeCell ref="Q219:S219"/>
    <mergeCell ref="B216:F216"/>
    <mergeCell ref="G216:H216"/>
    <mergeCell ref="L216:P216"/>
    <mergeCell ref="Q216:R216"/>
    <mergeCell ref="B217:F217"/>
    <mergeCell ref="G217:H217"/>
    <mergeCell ref="L217:P217"/>
    <mergeCell ref="Q217:R217"/>
    <mergeCell ref="B220:F220"/>
    <mergeCell ref="G220:I220"/>
    <mergeCell ref="L220:P220"/>
    <mergeCell ref="Q220:S220"/>
    <mergeCell ref="L221:S221"/>
    <mergeCell ref="A232:A233"/>
    <mergeCell ref="B232:F233"/>
    <mergeCell ref="G232:H233"/>
    <mergeCell ref="I232:I233"/>
    <mergeCell ref="B221:I221"/>
    <mergeCell ref="B239:F239"/>
    <mergeCell ref="G239:H239"/>
    <mergeCell ref="B240:F240"/>
    <mergeCell ref="G240:H240"/>
    <mergeCell ref="B241:F241"/>
    <mergeCell ref="G241:H244"/>
    <mergeCell ref="A234:A235"/>
    <mergeCell ref="B234:F235"/>
    <mergeCell ref="G234:I235"/>
    <mergeCell ref="B236:F236"/>
    <mergeCell ref="G236:H238"/>
    <mergeCell ref="I236:I237"/>
    <mergeCell ref="B237:F237"/>
    <mergeCell ref="B238:F238"/>
    <mergeCell ref="I248:I252"/>
    <mergeCell ref="A249:A252"/>
    <mergeCell ref="B249:F249"/>
    <mergeCell ref="B250:F250"/>
    <mergeCell ref="B251:F251"/>
    <mergeCell ref="B252:F252"/>
    <mergeCell ref="I241:I243"/>
    <mergeCell ref="B242:F242"/>
    <mergeCell ref="B243:F243"/>
    <mergeCell ref="B244:F244"/>
    <mergeCell ref="B245:F245"/>
    <mergeCell ref="G245:H246"/>
    <mergeCell ref="I245:I246"/>
    <mergeCell ref="B246:F246"/>
    <mergeCell ref="B253:F253"/>
    <mergeCell ref="G253:H253"/>
    <mergeCell ref="B254:F254"/>
    <mergeCell ref="G254:H254"/>
    <mergeCell ref="B255:F255"/>
    <mergeCell ref="G255:H256"/>
    <mergeCell ref="B247:F247"/>
    <mergeCell ref="G247:H247"/>
    <mergeCell ref="B248:F248"/>
    <mergeCell ref="G248:H252"/>
    <mergeCell ref="B262:I262"/>
    <mergeCell ref="B259:F259"/>
    <mergeCell ref="G259:I259"/>
    <mergeCell ref="B260:F260"/>
    <mergeCell ref="G260:I260"/>
    <mergeCell ref="B261:F261"/>
    <mergeCell ref="G261:I261"/>
    <mergeCell ref="I255:I256"/>
    <mergeCell ref="B256:F256"/>
    <mergeCell ref="B257:F257"/>
    <mergeCell ref="G257:H257"/>
    <mergeCell ref="B258:F258"/>
    <mergeCell ref="G258:H258"/>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S267"/>
  <sheetViews>
    <sheetView topLeftCell="A250" zoomScale="70" zoomScaleNormal="70" workbookViewId="0">
      <selection activeCell="Q254" sqref="Q254:R254"/>
    </sheetView>
  </sheetViews>
  <sheetFormatPr defaultColWidth="9.140625" defaultRowHeight="15" x14ac:dyDescent="0.25"/>
  <cols>
    <col min="1" max="1" width="3.42578125" customWidth="1"/>
    <col min="7" max="7" width="10" customWidth="1"/>
    <col min="9" max="9" width="50.7109375" customWidth="1"/>
    <col min="10" max="10" width="0.42578125" customWidth="1"/>
    <col min="11" max="11" width="4.42578125" customWidth="1"/>
    <col min="17" max="17" width="10.28515625" customWidth="1"/>
    <col min="19" max="19" width="53.28515625" customWidth="1"/>
    <col min="257" max="257" width="3.42578125" customWidth="1"/>
    <col min="263" max="263" width="10" customWidth="1"/>
    <col min="265" max="265" width="50.7109375" customWidth="1"/>
    <col min="266" max="266" width="0.42578125" customWidth="1"/>
    <col min="267" max="267" width="4.42578125" customWidth="1"/>
    <col min="273" max="273" width="10.28515625" customWidth="1"/>
    <col min="275" max="275" width="53.28515625" customWidth="1"/>
    <col min="513" max="513" width="3.42578125" customWidth="1"/>
    <col min="519" max="519" width="10" customWidth="1"/>
    <col min="521" max="521" width="50.7109375" customWidth="1"/>
    <col min="522" max="522" width="0.42578125" customWidth="1"/>
    <col min="523" max="523" width="4.42578125" customWidth="1"/>
    <col min="529" max="529" width="10.28515625" customWidth="1"/>
    <col min="531" max="531" width="53.28515625" customWidth="1"/>
    <col min="769" max="769" width="3.42578125" customWidth="1"/>
    <col min="775" max="775" width="10" customWidth="1"/>
    <col min="777" max="777" width="50.7109375" customWidth="1"/>
    <col min="778" max="778" width="0.42578125" customWidth="1"/>
    <col min="779" max="779" width="4.42578125" customWidth="1"/>
    <col min="785" max="785" width="10.28515625" customWidth="1"/>
    <col min="787" max="787" width="53.28515625" customWidth="1"/>
    <col min="1025" max="1025" width="3.42578125" customWidth="1"/>
    <col min="1031" max="1031" width="10" customWidth="1"/>
    <col min="1033" max="1033" width="50.7109375" customWidth="1"/>
    <col min="1034" max="1034" width="0.42578125" customWidth="1"/>
    <col min="1035" max="1035" width="4.42578125" customWidth="1"/>
    <col min="1041" max="1041" width="10.28515625" customWidth="1"/>
    <col min="1043" max="1043" width="53.28515625" customWidth="1"/>
    <col min="1281" max="1281" width="3.42578125" customWidth="1"/>
    <col min="1287" max="1287" width="10" customWidth="1"/>
    <col min="1289" max="1289" width="50.7109375" customWidth="1"/>
    <col min="1290" max="1290" width="0.42578125" customWidth="1"/>
    <col min="1291" max="1291" width="4.42578125" customWidth="1"/>
    <col min="1297" max="1297" width="10.28515625" customWidth="1"/>
    <col min="1299" max="1299" width="53.28515625" customWidth="1"/>
    <col min="1537" max="1537" width="3.42578125" customWidth="1"/>
    <col min="1543" max="1543" width="10" customWidth="1"/>
    <col min="1545" max="1545" width="50.7109375" customWidth="1"/>
    <col min="1546" max="1546" width="0.42578125" customWidth="1"/>
    <col min="1547" max="1547" width="4.42578125" customWidth="1"/>
    <col min="1553" max="1553" width="10.28515625" customWidth="1"/>
    <col min="1555" max="1555" width="53.28515625" customWidth="1"/>
    <col min="1793" max="1793" width="3.42578125" customWidth="1"/>
    <col min="1799" max="1799" width="10" customWidth="1"/>
    <col min="1801" max="1801" width="50.7109375" customWidth="1"/>
    <col min="1802" max="1802" width="0.42578125" customWidth="1"/>
    <col min="1803" max="1803" width="4.42578125" customWidth="1"/>
    <col min="1809" max="1809" width="10.28515625" customWidth="1"/>
    <col min="1811" max="1811" width="53.28515625" customWidth="1"/>
    <col min="2049" max="2049" width="3.42578125" customWidth="1"/>
    <col min="2055" max="2055" width="10" customWidth="1"/>
    <col min="2057" max="2057" width="50.7109375" customWidth="1"/>
    <col min="2058" max="2058" width="0.42578125" customWidth="1"/>
    <col min="2059" max="2059" width="4.42578125" customWidth="1"/>
    <col min="2065" max="2065" width="10.28515625" customWidth="1"/>
    <col min="2067" max="2067" width="53.28515625" customWidth="1"/>
    <col min="2305" max="2305" width="3.42578125" customWidth="1"/>
    <col min="2311" max="2311" width="10" customWidth="1"/>
    <col min="2313" max="2313" width="50.7109375" customWidth="1"/>
    <col min="2314" max="2314" width="0.42578125" customWidth="1"/>
    <col min="2315" max="2315" width="4.42578125" customWidth="1"/>
    <col min="2321" max="2321" width="10.28515625" customWidth="1"/>
    <col min="2323" max="2323" width="53.28515625" customWidth="1"/>
    <col min="2561" max="2561" width="3.42578125" customWidth="1"/>
    <col min="2567" max="2567" width="10" customWidth="1"/>
    <col min="2569" max="2569" width="50.7109375" customWidth="1"/>
    <col min="2570" max="2570" width="0.42578125" customWidth="1"/>
    <col min="2571" max="2571" width="4.42578125" customWidth="1"/>
    <col min="2577" max="2577" width="10.28515625" customWidth="1"/>
    <col min="2579" max="2579" width="53.28515625" customWidth="1"/>
    <col min="2817" max="2817" width="3.42578125" customWidth="1"/>
    <col min="2823" max="2823" width="10" customWidth="1"/>
    <col min="2825" max="2825" width="50.7109375" customWidth="1"/>
    <col min="2826" max="2826" width="0.42578125" customWidth="1"/>
    <col min="2827" max="2827" width="4.42578125" customWidth="1"/>
    <col min="2833" max="2833" width="10.28515625" customWidth="1"/>
    <col min="2835" max="2835" width="53.28515625" customWidth="1"/>
    <col min="3073" max="3073" width="3.42578125" customWidth="1"/>
    <col min="3079" max="3079" width="10" customWidth="1"/>
    <col min="3081" max="3081" width="50.7109375" customWidth="1"/>
    <col min="3082" max="3082" width="0.42578125" customWidth="1"/>
    <col min="3083" max="3083" width="4.42578125" customWidth="1"/>
    <col min="3089" max="3089" width="10.28515625" customWidth="1"/>
    <col min="3091" max="3091" width="53.28515625" customWidth="1"/>
    <col min="3329" max="3329" width="3.42578125" customWidth="1"/>
    <col min="3335" max="3335" width="10" customWidth="1"/>
    <col min="3337" max="3337" width="50.7109375" customWidth="1"/>
    <col min="3338" max="3338" width="0.42578125" customWidth="1"/>
    <col min="3339" max="3339" width="4.42578125" customWidth="1"/>
    <col min="3345" max="3345" width="10.28515625" customWidth="1"/>
    <col min="3347" max="3347" width="53.28515625" customWidth="1"/>
    <col min="3585" max="3585" width="3.42578125" customWidth="1"/>
    <col min="3591" max="3591" width="10" customWidth="1"/>
    <col min="3593" max="3593" width="50.7109375" customWidth="1"/>
    <col min="3594" max="3594" width="0.42578125" customWidth="1"/>
    <col min="3595" max="3595" width="4.42578125" customWidth="1"/>
    <col min="3601" max="3601" width="10.28515625" customWidth="1"/>
    <col min="3603" max="3603" width="53.28515625" customWidth="1"/>
    <col min="3841" max="3841" width="3.42578125" customWidth="1"/>
    <col min="3847" max="3847" width="10" customWidth="1"/>
    <col min="3849" max="3849" width="50.7109375" customWidth="1"/>
    <col min="3850" max="3850" width="0.42578125" customWidth="1"/>
    <col min="3851" max="3851" width="4.42578125" customWidth="1"/>
    <col min="3857" max="3857" width="10.28515625" customWidth="1"/>
    <col min="3859" max="3859" width="53.28515625" customWidth="1"/>
    <col min="4097" max="4097" width="3.42578125" customWidth="1"/>
    <col min="4103" max="4103" width="10" customWidth="1"/>
    <col min="4105" max="4105" width="50.7109375" customWidth="1"/>
    <col min="4106" max="4106" width="0.42578125" customWidth="1"/>
    <col min="4107" max="4107" width="4.42578125" customWidth="1"/>
    <col min="4113" max="4113" width="10.28515625" customWidth="1"/>
    <col min="4115" max="4115" width="53.28515625" customWidth="1"/>
    <col min="4353" max="4353" width="3.42578125" customWidth="1"/>
    <col min="4359" max="4359" width="10" customWidth="1"/>
    <col min="4361" max="4361" width="50.7109375" customWidth="1"/>
    <col min="4362" max="4362" width="0.42578125" customWidth="1"/>
    <col min="4363" max="4363" width="4.42578125" customWidth="1"/>
    <col min="4369" max="4369" width="10.28515625" customWidth="1"/>
    <col min="4371" max="4371" width="53.28515625" customWidth="1"/>
    <col min="4609" max="4609" width="3.42578125" customWidth="1"/>
    <col min="4615" max="4615" width="10" customWidth="1"/>
    <col min="4617" max="4617" width="50.7109375" customWidth="1"/>
    <col min="4618" max="4618" width="0.42578125" customWidth="1"/>
    <col min="4619" max="4619" width="4.42578125" customWidth="1"/>
    <col min="4625" max="4625" width="10.28515625" customWidth="1"/>
    <col min="4627" max="4627" width="53.28515625" customWidth="1"/>
    <col min="4865" max="4865" width="3.42578125" customWidth="1"/>
    <col min="4871" max="4871" width="10" customWidth="1"/>
    <col min="4873" max="4873" width="50.7109375" customWidth="1"/>
    <col min="4874" max="4874" width="0.42578125" customWidth="1"/>
    <col min="4875" max="4875" width="4.42578125" customWidth="1"/>
    <col min="4881" max="4881" width="10.28515625" customWidth="1"/>
    <col min="4883" max="4883" width="53.28515625" customWidth="1"/>
    <col min="5121" max="5121" width="3.42578125" customWidth="1"/>
    <col min="5127" max="5127" width="10" customWidth="1"/>
    <col min="5129" max="5129" width="50.7109375" customWidth="1"/>
    <col min="5130" max="5130" width="0.42578125" customWidth="1"/>
    <col min="5131" max="5131" width="4.42578125" customWidth="1"/>
    <col min="5137" max="5137" width="10.28515625" customWidth="1"/>
    <col min="5139" max="5139" width="53.28515625" customWidth="1"/>
    <col min="5377" max="5377" width="3.42578125" customWidth="1"/>
    <col min="5383" max="5383" width="10" customWidth="1"/>
    <col min="5385" max="5385" width="50.7109375" customWidth="1"/>
    <col min="5386" max="5386" width="0.42578125" customWidth="1"/>
    <col min="5387" max="5387" width="4.42578125" customWidth="1"/>
    <col min="5393" max="5393" width="10.28515625" customWidth="1"/>
    <col min="5395" max="5395" width="53.28515625" customWidth="1"/>
    <col min="5633" max="5633" width="3.42578125" customWidth="1"/>
    <col min="5639" max="5639" width="10" customWidth="1"/>
    <col min="5641" max="5641" width="50.7109375" customWidth="1"/>
    <col min="5642" max="5642" width="0.42578125" customWidth="1"/>
    <col min="5643" max="5643" width="4.42578125" customWidth="1"/>
    <col min="5649" max="5649" width="10.28515625" customWidth="1"/>
    <col min="5651" max="5651" width="53.28515625" customWidth="1"/>
    <col min="5889" max="5889" width="3.42578125" customWidth="1"/>
    <col min="5895" max="5895" width="10" customWidth="1"/>
    <col min="5897" max="5897" width="50.7109375" customWidth="1"/>
    <col min="5898" max="5898" width="0.42578125" customWidth="1"/>
    <col min="5899" max="5899" width="4.42578125" customWidth="1"/>
    <col min="5905" max="5905" width="10.28515625" customWidth="1"/>
    <col min="5907" max="5907" width="53.28515625" customWidth="1"/>
    <col min="6145" max="6145" width="3.42578125" customWidth="1"/>
    <col min="6151" max="6151" width="10" customWidth="1"/>
    <col min="6153" max="6153" width="50.7109375" customWidth="1"/>
    <col min="6154" max="6154" width="0.42578125" customWidth="1"/>
    <col min="6155" max="6155" width="4.42578125" customWidth="1"/>
    <col min="6161" max="6161" width="10.28515625" customWidth="1"/>
    <col min="6163" max="6163" width="53.28515625" customWidth="1"/>
    <col min="6401" max="6401" width="3.42578125" customWidth="1"/>
    <col min="6407" max="6407" width="10" customWidth="1"/>
    <col min="6409" max="6409" width="50.7109375" customWidth="1"/>
    <col min="6410" max="6410" width="0.42578125" customWidth="1"/>
    <col min="6411" max="6411" width="4.42578125" customWidth="1"/>
    <col min="6417" max="6417" width="10.28515625" customWidth="1"/>
    <col min="6419" max="6419" width="53.28515625" customWidth="1"/>
    <col min="6657" max="6657" width="3.42578125" customWidth="1"/>
    <col min="6663" max="6663" width="10" customWidth="1"/>
    <col min="6665" max="6665" width="50.7109375" customWidth="1"/>
    <col min="6666" max="6666" width="0.42578125" customWidth="1"/>
    <col min="6667" max="6667" width="4.42578125" customWidth="1"/>
    <col min="6673" max="6673" width="10.28515625" customWidth="1"/>
    <col min="6675" max="6675" width="53.28515625" customWidth="1"/>
    <col min="6913" max="6913" width="3.42578125" customWidth="1"/>
    <col min="6919" max="6919" width="10" customWidth="1"/>
    <col min="6921" max="6921" width="50.7109375" customWidth="1"/>
    <col min="6922" max="6922" width="0.42578125" customWidth="1"/>
    <col min="6923" max="6923" width="4.42578125" customWidth="1"/>
    <col min="6929" max="6929" width="10.28515625" customWidth="1"/>
    <col min="6931" max="6931" width="53.28515625" customWidth="1"/>
    <col min="7169" max="7169" width="3.42578125" customWidth="1"/>
    <col min="7175" max="7175" width="10" customWidth="1"/>
    <col min="7177" max="7177" width="50.7109375" customWidth="1"/>
    <col min="7178" max="7178" width="0.42578125" customWidth="1"/>
    <col min="7179" max="7179" width="4.42578125" customWidth="1"/>
    <col min="7185" max="7185" width="10.28515625" customWidth="1"/>
    <col min="7187" max="7187" width="53.28515625" customWidth="1"/>
    <col min="7425" max="7425" width="3.42578125" customWidth="1"/>
    <col min="7431" max="7431" width="10" customWidth="1"/>
    <col min="7433" max="7433" width="50.7109375" customWidth="1"/>
    <col min="7434" max="7434" width="0.42578125" customWidth="1"/>
    <col min="7435" max="7435" width="4.42578125" customWidth="1"/>
    <col min="7441" max="7441" width="10.28515625" customWidth="1"/>
    <col min="7443" max="7443" width="53.28515625" customWidth="1"/>
    <col min="7681" max="7681" width="3.42578125" customWidth="1"/>
    <col min="7687" max="7687" width="10" customWidth="1"/>
    <col min="7689" max="7689" width="50.7109375" customWidth="1"/>
    <col min="7690" max="7690" width="0.42578125" customWidth="1"/>
    <col min="7691" max="7691" width="4.42578125" customWidth="1"/>
    <col min="7697" max="7697" width="10.28515625" customWidth="1"/>
    <col min="7699" max="7699" width="53.28515625" customWidth="1"/>
    <col min="7937" max="7937" width="3.42578125" customWidth="1"/>
    <col min="7943" max="7943" width="10" customWidth="1"/>
    <col min="7945" max="7945" width="50.7109375" customWidth="1"/>
    <col min="7946" max="7946" width="0.42578125" customWidth="1"/>
    <col min="7947" max="7947" width="4.42578125" customWidth="1"/>
    <col min="7953" max="7953" width="10.28515625" customWidth="1"/>
    <col min="7955" max="7955" width="53.28515625" customWidth="1"/>
    <col min="8193" max="8193" width="3.42578125" customWidth="1"/>
    <col min="8199" max="8199" width="10" customWidth="1"/>
    <col min="8201" max="8201" width="50.7109375" customWidth="1"/>
    <col min="8202" max="8202" width="0.42578125" customWidth="1"/>
    <col min="8203" max="8203" width="4.42578125" customWidth="1"/>
    <col min="8209" max="8209" width="10.28515625" customWidth="1"/>
    <col min="8211" max="8211" width="53.28515625" customWidth="1"/>
    <col min="8449" max="8449" width="3.42578125" customWidth="1"/>
    <col min="8455" max="8455" width="10" customWidth="1"/>
    <col min="8457" max="8457" width="50.7109375" customWidth="1"/>
    <col min="8458" max="8458" width="0.42578125" customWidth="1"/>
    <col min="8459" max="8459" width="4.42578125" customWidth="1"/>
    <col min="8465" max="8465" width="10.28515625" customWidth="1"/>
    <col min="8467" max="8467" width="53.28515625" customWidth="1"/>
    <col min="8705" max="8705" width="3.42578125" customWidth="1"/>
    <col min="8711" max="8711" width="10" customWidth="1"/>
    <col min="8713" max="8713" width="50.7109375" customWidth="1"/>
    <col min="8714" max="8714" width="0.42578125" customWidth="1"/>
    <col min="8715" max="8715" width="4.42578125" customWidth="1"/>
    <col min="8721" max="8721" width="10.28515625" customWidth="1"/>
    <col min="8723" max="8723" width="53.28515625" customWidth="1"/>
    <col min="8961" max="8961" width="3.42578125" customWidth="1"/>
    <col min="8967" max="8967" width="10" customWidth="1"/>
    <col min="8969" max="8969" width="50.7109375" customWidth="1"/>
    <col min="8970" max="8970" width="0.42578125" customWidth="1"/>
    <col min="8971" max="8971" width="4.42578125" customWidth="1"/>
    <col min="8977" max="8977" width="10.28515625" customWidth="1"/>
    <col min="8979" max="8979" width="53.28515625" customWidth="1"/>
    <col min="9217" max="9217" width="3.42578125" customWidth="1"/>
    <col min="9223" max="9223" width="10" customWidth="1"/>
    <col min="9225" max="9225" width="50.7109375" customWidth="1"/>
    <col min="9226" max="9226" width="0.42578125" customWidth="1"/>
    <col min="9227" max="9227" width="4.42578125" customWidth="1"/>
    <col min="9233" max="9233" width="10.28515625" customWidth="1"/>
    <col min="9235" max="9235" width="53.28515625" customWidth="1"/>
    <col min="9473" max="9473" width="3.42578125" customWidth="1"/>
    <col min="9479" max="9479" width="10" customWidth="1"/>
    <col min="9481" max="9481" width="50.7109375" customWidth="1"/>
    <col min="9482" max="9482" width="0.42578125" customWidth="1"/>
    <col min="9483" max="9483" width="4.42578125" customWidth="1"/>
    <col min="9489" max="9489" width="10.28515625" customWidth="1"/>
    <col min="9491" max="9491" width="53.28515625" customWidth="1"/>
    <col min="9729" max="9729" width="3.42578125" customWidth="1"/>
    <col min="9735" max="9735" width="10" customWidth="1"/>
    <col min="9737" max="9737" width="50.7109375" customWidth="1"/>
    <col min="9738" max="9738" width="0.42578125" customWidth="1"/>
    <col min="9739" max="9739" width="4.42578125" customWidth="1"/>
    <col min="9745" max="9745" width="10.28515625" customWidth="1"/>
    <col min="9747" max="9747" width="53.28515625" customWidth="1"/>
    <col min="9985" max="9985" width="3.42578125" customWidth="1"/>
    <col min="9991" max="9991" width="10" customWidth="1"/>
    <col min="9993" max="9993" width="50.7109375" customWidth="1"/>
    <col min="9994" max="9994" width="0.42578125" customWidth="1"/>
    <col min="9995" max="9995" width="4.42578125" customWidth="1"/>
    <col min="10001" max="10001" width="10.28515625" customWidth="1"/>
    <col min="10003" max="10003" width="53.28515625" customWidth="1"/>
    <col min="10241" max="10241" width="3.42578125" customWidth="1"/>
    <col min="10247" max="10247" width="10" customWidth="1"/>
    <col min="10249" max="10249" width="50.7109375" customWidth="1"/>
    <col min="10250" max="10250" width="0.42578125" customWidth="1"/>
    <col min="10251" max="10251" width="4.42578125" customWidth="1"/>
    <col min="10257" max="10257" width="10.28515625" customWidth="1"/>
    <col min="10259" max="10259" width="53.28515625" customWidth="1"/>
    <col min="10497" max="10497" width="3.42578125" customWidth="1"/>
    <col min="10503" max="10503" width="10" customWidth="1"/>
    <col min="10505" max="10505" width="50.7109375" customWidth="1"/>
    <col min="10506" max="10506" width="0.42578125" customWidth="1"/>
    <col min="10507" max="10507" width="4.42578125" customWidth="1"/>
    <col min="10513" max="10513" width="10.28515625" customWidth="1"/>
    <col min="10515" max="10515" width="53.28515625" customWidth="1"/>
    <col min="10753" max="10753" width="3.42578125" customWidth="1"/>
    <col min="10759" max="10759" width="10" customWidth="1"/>
    <col min="10761" max="10761" width="50.7109375" customWidth="1"/>
    <col min="10762" max="10762" width="0.42578125" customWidth="1"/>
    <col min="10763" max="10763" width="4.42578125" customWidth="1"/>
    <col min="10769" max="10769" width="10.28515625" customWidth="1"/>
    <col min="10771" max="10771" width="53.28515625" customWidth="1"/>
    <col min="11009" max="11009" width="3.42578125" customWidth="1"/>
    <col min="11015" max="11015" width="10" customWidth="1"/>
    <col min="11017" max="11017" width="50.7109375" customWidth="1"/>
    <col min="11018" max="11018" width="0.42578125" customWidth="1"/>
    <col min="11019" max="11019" width="4.42578125" customWidth="1"/>
    <col min="11025" max="11025" width="10.28515625" customWidth="1"/>
    <col min="11027" max="11027" width="53.28515625" customWidth="1"/>
    <col min="11265" max="11265" width="3.42578125" customWidth="1"/>
    <col min="11271" max="11271" width="10" customWidth="1"/>
    <col min="11273" max="11273" width="50.7109375" customWidth="1"/>
    <col min="11274" max="11274" width="0.42578125" customWidth="1"/>
    <col min="11275" max="11275" width="4.42578125" customWidth="1"/>
    <col min="11281" max="11281" width="10.28515625" customWidth="1"/>
    <col min="11283" max="11283" width="53.28515625" customWidth="1"/>
    <col min="11521" max="11521" width="3.42578125" customWidth="1"/>
    <col min="11527" max="11527" width="10" customWidth="1"/>
    <col min="11529" max="11529" width="50.7109375" customWidth="1"/>
    <col min="11530" max="11530" width="0.42578125" customWidth="1"/>
    <col min="11531" max="11531" width="4.42578125" customWidth="1"/>
    <col min="11537" max="11537" width="10.28515625" customWidth="1"/>
    <col min="11539" max="11539" width="53.28515625" customWidth="1"/>
    <col min="11777" max="11777" width="3.42578125" customWidth="1"/>
    <col min="11783" max="11783" width="10" customWidth="1"/>
    <col min="11785" max="11785" width="50.7109375" customWidth="1"/>
    <col min="11786" max="11786" width="0.42578125" customWidth="1"/>
    <col min="11787" max="11787" width="4.42578125" customWidth="1"/>
    <col min="11793" max="11793" width="10.28515625" customWidth="1"/>
    <col min="11795" max="11795" width="53.28515625" customWidth="1"/>
    <col min="12033" max="12033" width="3.42578125" customWidth="1"/>
    <col min="12039" max="12039" width="10" customWidth="1"/>
    <col min="12041" max="12041" width="50.7109375" customWidth="1"/>
    <col min="12042" max="12042" width="0.42578125" customWidth="1"/>
    <col min="12043" max="12043" width="4.42578125" customWidth="1"/>
    <col min="12049" max="12049" width="10.28515625" customWidth="1"/>
    <col min="12051" max="12051" width="53.28515625" customWidth="1"/>
    <col min="12289" max="12289" width="3.42578125" customWidth="1"/>
    <col min="12295" max="12295" width="10" customWidth="1"/>
    <col min="12297" max="12297" width="50.7109375" customWidth="1"/>
    <col min="12298" max="12298" width="0.42578125" customWidth="1"/>
    <col min="12299" max="12299" width="4.42578125" customWidth="1"/>
    <col min="12305" max="12305" width="10.28515625" customWidth="1"/>
    <col min="12307" max="12307" width="53.28515625" customWidth="1"/>
    <col min="12545" max="12545" width="3.42578125" customWidth="1"/>
    <col min="12551" max="12551" width="10" customWidth="1"/>
    <col min="12553" max="12553" width="50.7109375" customWidth="1"/>
    <col min="12554" max="12554" width="0.42578125" customWidth="1"/>
    <col min="12555" max="12555" width="4.42578125" customWidth="1"/>
    <col min="12561" max="12561" width="10.28515625" customWidth="1"/>
    <col min="12563" max="12563" width="53.28515625" customWidth="1"/>
    <col min="12801" max="12801" width="3.42578125" customWidth="1"/>
    <col min="12807" max="12807" width="10" customWidth="1"/>
    <col min="12809" max="12809" width="50.7109375" customWidth="1"/>
    <col min="12810" max="12810" width="0.42578125" customWidth="1"/>
    <col min="12811" max="12811" width="4.42578125" customWidth="1"/>
    <col min="12817" max="12817" width="10.28515625" customWidth="1"/>
    <col min="12819" max="12819" width="53.28515625" customWidth="1"/>
    <col min="13057" max="13057" width="3.42578125" customWidth="1"/>
    <col min="13063" max="13063" width="10" customWidth="1"/>
    <col min="13065" max="13065" width="50.7109375" customWidth="1"/>
    <col min="13066" max="13066" width="0.42578125" customWidth="1"/>
    <col min="13067" max="13067" width="4.42578125" customWidth="1"/>
    <col min="13073" max="13073" width="10.28515625" customWidth="1"/>
    <col min="13075" max="13075" width="53.28515625" customWidth="1"/>
    <col min="13313" max="13313" width="3.42578125" customWidth="1"/>
    <col min="13319" max="13319" width="10" customWidth="1"/>
    <col min="13321" max="13321" width="50.7109375" customWidth="1"/>
    <col min="13322" max="13322" width="0.42578125" customWidth="1"/>
    <col min="13323" max="13323" width="4.42578125" customWidth="1"/>
    <col min="13329" max="13329" width="10.28515625" customWidth="1"/>
    <col min="13331" max="13331" width="53.28515625" customWidth="1"/>
    <col min="13569" max="13569" width="3.42578125" customWidth="1"/>
    <col min="13575" max="13575" width="10" customWidth="1"/>
    <col min="13577" max="13577" width="50.7109375" customWidth="1"/>
    <col min="13578" max="13578" width="0.42578125" customWidth="1"/>
    <col min="13579" max="13579" width="4.42578125" customWidth="1"/>
    <col min="13585" max="13585" width="10.28515625" customWidth="1"/>
    <col min="13587" max="13587" width="53.28515625" customWidth="1"/>
    <col min="13825" max="13825" width="3.42578125" customWidth="1"/>
    <col min="13831" max="13831" width="10" customWidth="1"/>
    <col min="13833" max="13833" width="50.7109375" customWidth="1"/>
    <col min="13834" max="13834" width="0.42578125" customWidth="1"/>
    <col min="13835" max="13835" width="4.42578125" customWidth="1"/>
    <col min="13841" max="13841" width="10.28515625" customWidth="1"/>
    <col min="13843" max="13843" width="53.28515625" customWidth="1"/>
    <col min="14081" max="14081" width="3.42578125" customWidth="1"/>
    <col min="14087" max="14087" width="10" customWidth="1"/>
    <col min="14089" max="14089" width="50.7109375" customWidth="1"/>
    <col min="14090" max="14090" width="0.42578125" customWidth="1"/>
    <col min="14091" max="14091" width="4.42578125" customWidth="1"/>
    <col min="14097" max="14097" width="10.28515625" customWidth="1"/>
    <col min="14099" max="14099" width="53.28515625" customWidth="1"/>
    <col min="14337" max="14337" width="3.42578125" customWidth="1"/>
    <col min="14343" max="14343" width="10" customWidth="1"/>
    <col min="14345" max="14345" width="50.7109375" customWidth="1"/>
    <col min="14346" max="14346" width="0.42578125" customWidth="1"/>
    <col min="14347" max="14347" width="4.42578125" customWidth="1"/>
    <col min="14353" max="14353" width="10.28515625" customWidth="1"/>
    <col min="14355" max="14355" width="53.28515625" customWidth="1"/>
    <col min="14593" max="14593" width="3.42578125" customWidth="1"/>
    <col min="14599" max="14599" width="10" customWidth="1"/>
    <col min="14601" max="14601" width="50.7109375" customWidth="1"/>
    <col min="14602" max="14602" width="0.42578125" customWidth="1"/>
    <col min="14603" max="14603" width="4.42578125" customWidth="1"/>
    <col min="14609" max="14609" width="10.28515625" customWidth="1"/>
    <col min="14611" max="14611" width="53.28515625" customWidth="1"/>
    <col min="14849" max="14849" width="3.42578125" customWidth="1"/>
    <col min="14855" max="14855" width="10" customWidth="1"/>
    <col min="14857" max="14857" width="50.7109375" customWidth="1"/>
    <col min="14858" max="14858" width="0.42578125" customWidth="1"/>
    <col min="14859" max="14859" width="4.42578125" customWidth="1"/>
    <col min="14865" max="14865" width="10.28515625" customWidth="1"/>
    <col min="14867" max="14867" width="53.28515625" customWidth="1"/>
    <col min="15105" max="15105" width="3.42578125" customWidth="1"/>
    <col min="15111" max="15111" width="10" customWidth="1"/>
    <col min="15113" max="15113" width="50.7109375" customWidth="1"/>
    <col min="15114" max="15114" width="0.42578125" customWidth="1"/>
    <col min="15115" max="15115" width="4.42578125" customWidth="1"/>
    <col min="15121" max="15121" width="10.28515625" customWidth="1"/>
    <col min="15123" max="15123" width="53.28515625" customWidth="1"/>
    <col min="15361" max="15361" width="3.42578125" customWidth="1"/>
    <col min="15367" max="15367" width="10" customWidth="1"/>
    <col min="15369" max="15369" width="50.7109375" customWidth="1"/>
    <col min="15370" max="15370" width="0.42578125" customWidth="1"/>
    <col min="15371" max="15371" width="4.42578125" customWidth="1"/>
    <col min="15377" max="15377" width="10.28515625" customWidth="1"/>
    <col min="15379" max="15379" width="53.28515625" customWidth="1"/>
    <col min="15617" max="15617" width="3.42578125" customWidth="1"/>
    <col min="15623" max="15623" width="10" customWidth="1"/>
    <col min="15625" max="15625" width="50.7109375" customWidth="1"/>
    <col min="15626" max="15626" width="0.42578125" customWidth="1"/>
    <col min="15627" max="15627" width="4.42578125" customWidth="1"/>
    <col min="15633" max="15633" width="10.28515625" customWidth="1"/>
    <col min="15635" max="15635" width="53.28515625" customWidth="1"/>
    <col min="15873" max="15873" width="3.42578125" customWidth="1"/>
    <col min="15879" max="15879" width="10" customWidth="1"/>
    <col min="15881" max="15881" width="50.7109375" customWidth="1"/>
    <col min="15882" max="15882" width="0.42578125" customWidth="1"/>
    <col min="15883" max="15883" width="4.42578125" customWidth="1"/>
    <col min="15889" max="15889" width="10.28515625" customWidth="1"/>
    <col min="15891" max="15891" width="53.28515625" customWidth="1"/>
    <col min="16129" max="16129" width="3.42578125" customWidth="1"/>
    <col min="16135" max="16135" width="10" customWidth="1"/>
    <col min="16137" max="16137" width="50.7109375" customWidth="1"/>
    <col min="16138" max="16138" width="0.42578125" customWidth="1"/>
    <col min="16139" max="16139" width="4.42578125" customWidth="1"/>
    <col min="16145" max="16145" width="10.28515625" customWidth="1"/>
    <col min="16147" max="16147" width="53.2851562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287</v>
      </c>
      <c r="E2" s="3"/>
      <c r="F2" s="3"/>
      <c r="G2" s="3"/>
      <c r="H2" s="3"/>
      <c r="I2" s="3"/>
      <c r="K2" s="3" t="s">
        <v>205</v>
      </c>
      <c r="L2" s="3"/>
      <c r="M2" s="3"/>
      <c r="N2" s="3" t="s">
        <v>288</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4285.8</v>
      </c>
      <c r="G4" s="3" t="s">
        <v>207</v>
      </c>
      <c r="H4" s="3"/>
      <c r="I4" s="3"/>
      <c r="J4" s="3"/>
      <c r="K4" s="3"/>
      <c r="L4" s="5" t="s">
        <v>206</v>
      </c>
      <c r="M4" s="3"/>
      <c r="N4" s="3"/>
      <c r="O4" s="3"/>
      <c r="P4" s="3">
        <v>6097.7</v>
      </c>
      <c r="Q4" s="3" t="s">
        <v>207</v>
      </c>
      <c r="R4" s="65"/>
      <c r="S4" s="3"/>
    </row>
    <row r="5" spans="1:19" ht="15" customHeight="1" x14ac:dyDescent="0.25">
      <c r="A5" s="175" t="s">
        <v>209</v>
      </c>
      <c r="B5" s="177" t="s">
        <v>210</v>
      </c>
      <c r="C5" s="178"/>
      <c r="D5" s="178"/>
      <c r="E5" s="178"/>
      <c r="F5" s="178"/>
      <c r="G5" s="180" t="s">
        <v>442</v>
      </c>
      <c r="H5" s="181"/>
      <c r="I5" s="175" t="s">
        <v>212</v>
      </c>
      <c r="J5" s="31"/>
      <c r="K5" s="175" t="s">
        <v>209</v>
      </c>
      <c r="L5" s="177" t="s">
        <v>210</v>
      </c>
      <c r="M5" s="178"/>
      <c r="N5" s="178"/>
      <c r="O5" s="178"/>
      <c r="P5" s="178"/>
      <c r="Q5" s="180" t="s">
        <v>442</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63352.36</v>
      </c>
      <c r="H7" s="191"/>
      <c r="I7" s="192"/>
      <c r="J7" s="33"/>
      <c r="K7" s="185" t="s">
        <v>213</v>
      </c>
      <c r="L7" s="187" t="s">
        <v>354</v>
      </c>
      <c r="M7" s="188"/>
      <c r="N7" s="188"/>
      <c r="O7" s="188"/>
      <c r="P7" s="188"/>
      <c r="Q7" s="190">
        <v>102846.89</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1.45*12*F4</f>
        <v>74572.92</v>
      </c>
      <c r="H9" s="164"/>
      <c r="I9" s="169" t="s">
        <v>215</v>
      </c>
      <c r="J9" s="35"/>
      <c r="K9" s="6"/>
      <c r="L9" s="161" t="s">
        <v>214</v>
      </c>
      <c r="M9" s="162"/>
      <c r="N9" s="162"/>
      <c r="O9" s="162"/>
      <c r="P9" s="162"/>
      <c r="Q9" s="163">
        <f>1.52*12*P4</f>
        <v>111222.04800000001</v>
      </c>
      <c r="R9" s="164"/>
      <c r="S9" s="169" t="s">
        <v>215</v>
      </c>
    </row>
    <row r="10" spans="1:19" ht="32.2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8.75" customHeight="1" thickBot="1" x14ac:dyDescent="0.3">
      <c r="A12" s="7"/>
      <c r="B12" s="141" t="s">
        <v>219</v>
      </c>
      <c r="C12" s="142"/>
      <c r="D12" s="142"/>
      <c r="E12" s="142"/>
      <c r="F12" s="142"/>
      <c r="G12" s="143">
        <f>1748.85*12*2</f>
        <v>41972.399999999994</v>
      </c>
      <c r="H12" s="144"/>
      <c r="I12" s="8" t="s">
        <v>220</v>
      </c>
      <c r="J12" s="37"/>
      <c r="K12" s="7"/>
      <c r="L12" s="141" t="s">
        <v>219</v>
      </c>
      <c r="M12" s="142"/>
      <c r="N12" s="142"/>
      <c r="O12" s="142"/>
      <c r="P12" s="142"/>
      <c r="Q12" s="143">
        <f>1748.85*12*3</f>
        <v>62958.599999999991</v>
      </c>
      <c r="R12" s="144"/>
      <c r="S12" s="8" t="s">
        <v>220</v>
      </c>
    </row>
    <row r="13" spans="1:19" ht="18.75" customHeight="1" thickBot="1" x14ac:dyDescent="0.3">
      <c r="A13" s="7"/>
      <c r="B13" s="141" t="s">
        <v>221</v>
      </c>
      <c r="C13" s="142"/>
      <c r="D13" s="142"/>
      <c r="E13" s="142"/>
      <c r="F13" s="142"/>
      <c r="G13" s="143">
        <f>0.474*12*F4</f>
        <v>24377.630399999998</v>
      </c>
      <c r="H13" s="144"/>
      <c r="I13" s="8" t="s">
        <v>222</v>
      </c>
      <c r="J13" s="38"/>
      <c r="K13" s="7"/>
      <c r="L13" s="141" t="s">
        <v>221</v>
      </c>
      <c r="M13" s="142"/>
      <c r="N13" s="142"/>
      <c r="O13" s="142"/>
      <c r="P13" s="142"/>
      <c r="Q13" s="143">
        <f>0.474*12*P4</f>
        <v>34683.717599999996</v>
      </c>
      <c r="R13" s="144"/>
      <c r="S13" s="8" t="s">
        <v>222</v>
      </c>
    </row>
    <row r="14" spans="1:19" ht="13.5" customHeight="1" x14ac:dyDescent="0.25">
      <c r="A14" s="9"/>
      <c r="B14" s="145" t="s">
        <v>223</v>
      </c>
      <c r="C14" s="146"/>
      <c r="D14" s="146"/>
      <c r="E14" s="146"/>
      <c r="F14" s="146"/>
      <c r="G14" s="86">
        <f>1.54*12*F4</f>
        <v>79201.584000000003</v>
      </c>
      <c r="H14" s="147"/>
      <c r="I14" s="152" t="s">
        <v>224</v>
      </c>
      <c r="J14" s="38"/>
      <c r="K14" s="9"/>
      <c r="L14" s="145" t="s">
        <v>223</v>
      </c>
      <c r="M14" s="146"/>
      <c r="N14" s="146"/>
      <c r="O14" s="146"/>
      <c r="P14" s="146"/>
      <c r="Q14" s="86">
        <f>2.19*12*P4</f>
        <v>160247.55600000001</v>
      </c>
      <c r="R14" s="147"/>
      <c r="S14" s="152" t="s">
        <v>224</v>
      </c>
    </row>
    <row r="15" spans="1:19" ht="19.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7.2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8.7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0.048*12*F4</f>
        <v>2468.6208000000006</v>
      </c>
      <c r="H18" s="87"/>
      <c r="I18" s="129" t="s">
        <v>220</v>
      </c>
      <c r="J18" s="36"/>
      <c r="K18" s="12"/>
      <c r="L18" s="125" t="s">
        <v>230</v>
      </c>
      <c r="M18" s="126"/>
      <c r="N18" s="126"/>
      <c r="O18" s="126"/>
      <c r="P18" s="126"/>
      <c r="Q18" s="86">
        <f>0.048*12*P4</f>
        <v>3512.2752000000005</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34.5" customHeight="1" thickBot="1" x14ac:dyDescent="0.3">
      <c r="A21" s="13"/>
      <c r="B21" s="84" t="s">
        <v>233</v>
      </c>
      <c r="C21" s="85"/>
      <c r="D21" s="85"/>
      <c r="E21" s="85"/>
      <c r="F21" s="85"/>
      <c r="G21" s="86">
        <f>1.1*12*F4</f>
        <v>56572.560000000005</v>
      </c>
      <c r="H21" s="87"/>
      <c r="I21" s="317" t="s">
        <v>504</v>
      </c>
      <c r="J21" s="41"/>
      <c r="K21" s="13"/>
      <c r="L21" s="84" t="s">
        <v>233</v>
      </c>
      <c r="M21" s="85"/>
      <c r="N21" s="85"/>
      <c r="O21" s="85"/>
      <c r="P21" s="85"/>
      <c r="Q21" s="86">
        <f>1.43*12*P4</f>
        <v>104636.53199999999</v>
      </c>
      <c r="R21" s="87"/>
      <c r="S21" s="317" t="s">
        <v>505</v>
      </c>
    </row>
    <row r="22" spans="1:19" ht="44.25" customHeight="1" x14ac:dyDescent="0.25">
      <c r="A22" s="118"/>
      <c r="B22" s="121" t="s">
        <v>226</v>
      </c>
      <c r="C22" s="122"/>
      <c r="D22" s="122"/>
      <c r="E22" s="122"/>
      <c r="F22" s="122"/>
      <c r="G22" s="88"/>
      <c r="H22" s="89"/>
      <c r="I22" s="318"/>
      <c r="J22" s="41"/>
      <c r="K22" s="118"/>
      <c r="L22" s="121" t="s">
        <v>226</v>
      </c>
      <c r="M22" s="122"/>
      <c r="N22" s="122"/>
      <c r="O22" s="122"/>
      <c r="P22" s="122"/>
      <c r="Q22" s="88"/>
      <c r="R22" s="89"/>
      <c r="S22" s="318"/>
    </row>
    <row r="23" spans="1:19" ht="37.5" customHeight="1" x14ac:dyDescent="0.25">
      <c r="A23" s="119"/>
      <c r="B23" s="121" t="s">
        <v>227</v>
      </c>
      <c r="C23" s="122"/>
      <c r="D23" s="122"/>
      <c r="E23" s="122"/>
      <c r="F23" s="122"/>
      <c r="G23" s="88"/>
      <c r="H23" s="89"/>
      <c r="I23" s="318"/>
      <c r="J23" s="42"/>
      <c r="K23" s="119"/>
      <c r="L23" s="121" t="s">
        <v>227</v>
      </c>
      <c r="M23" s="122"/>
      <c r="N23" s="122"/>
      <c r="O23" s="122"/>
      <c r="P23" s="122"/>
      <c r="Q23" s="88"/>
      <c r="R23" s="89"/>
      <c r="S23" s="318"/>
    </row>
    <row r="24" spans="1:19" ht="39.75" customHeight="1" x14ac:dyDescent="0.25">
      <c r="A24" s="119"/>
      <c r="B24" s="121" t="s">
        <v>228</v>
      </c>
      <c r="C24" s="122"/>
      <c r="D24" s="122"/>
      <c r="E24" s="122"/>
      <c r="F24" s="122"/>
      <c r="G24" s="88"/>
      <c r="H24" s="89"/>
      <c r="I24" s="318"/>
      <c r="J24" s="43"/>
      <c r="K24" s="119"/>
      <c r="L24" s="121" t="s">
        <v>228</v>
      </c>
      <c r="M24" s="122"/>
      <c r="N24" s="122"/>
      <c r="O24" s="122"/>
      <c r="P24" s="122"/>
      <c r="Q24" s="88"/>
      <c r="R24" s="89"/>
      <c r="S24" s="318"/>
    </row>
    <row r="25" spans="1:19" ht="42" customHeight="1" thickBot="1" x14ac:dyDescent="0.3">
      <c r="A25" s="120"/>
      <c r="B25" s="123" t="s">
        <v>234</v>
      </c>
      <c r="C25" s="124"/>
      <c r="D25" s="124"/>
      <c r="E25" s="124"/>
      <c r="F25" s="124"/>
      <c r="G25" s="90"/>
      <c r="H25" s="91"/>
      <c r="I25" s="319"/>
      <c r="J25" s="44"/>
      <c r="K25" s="120"/>
      <c r="L25" s="123" t="s">
        <v>234</v>
      </c>
      <c r="M25" s="124"/>
      <c r="N25" s="124"/>
      <c r="O25" s="124"/>
      <c r="P25" s="124"/>
      <c r="Q25" s="90"/>
      <c r="R25" s="91"/>
      <c r="S25" s="319"/>
    </row>
    <row r="26" spans="1:19" ht="1.5" hidden="1" customHeight="1" x14ac:dyDescent="0.25">
      <c r="A26" s="15"/>
      <c r="B26" s="137"/>
      <c r="C26" s="138"/>
      <c r="D26" s="138"/>
      <c r="E26" s="138"/>
      <c r="F26" s="138"/>
      <c r="G26" s="139"/>
      <c r="H26" s="140"/>
      <c r="I26" s="16"/>
      <c r="J26" s="40"/>
      <c r="K26" s="15"/>
      <c r="L26" s="137"/>
      <c r="M26" s="138"/>
      <c r="N26" s="138"/>
      <c r="O26" s="138"/>
      <c r="P26" s="138"/>
      <c r="Q26" s="139"/>
      <c r="R26" s="140"/>
      <c r="S26" s="16"/>
    </row>
    <row r="27" spans="1:19" ht="28.5" hidden="1" customHeight="1" x14ac:dyDescent="0.25">
      <c r="A27" s="15"/>
      <c r="B27" s="137" t="s">
        <v>235</v>
      </c>
      <c r="C27" s="138"/>
      <c r="D27" s="138"/>
      <c r="E27" s="138"/>
      <c r="F27" s="138"/>
      <c r="G27" s="139"/>
      <c r="H27" s="140"/>
      <c r="I27" s="16"/>
      <c r="J27" s="45"/>
      <c r="K27" s="15"/>
      <c r="L27" s="137" t="s">
        <v>235</v>
      </c>
      <c r="M27" s="138"/>
      <c r="N27" s="138"/>
      <c r="O27" s="138"/>
      <c r="P27" s="138"/>
      <c r="Q27" s="139"/>
      <c r="R27" s="140"/>
      <c r="S27" s="16"/>
    </row>
    <row r="28" spans="1:19" ht="28.5" customHeight="1" thickBot="1" x14ac:dyDescent="0.3">
      <c r="A28" s="17"/>
      <c r="B28" s="78" t="s">
        <v>237</v>
      </c>
      <c r="C28" s="79"/>
      <c r="D28" s="79"/>
      <c r="E28" s="79"/>
      <c r="F28" s="79"/>
      <c r="G28" s="86">
        <f>8194+17101</f>
        <v>25295</v>
      </c>
      <c r="H28" s="87"/>
      <c r="I28" s="108" t="s">
        <v>229</v>
      </c>
      <c r="J28" s="41"/>
      <c r="K28" s="17"/>
      <c r="L28" s="78" t="s">
        <v>237</v>
      </c>
      <c r="M28" s="79"/>
      <c r="N28" s="79"/>
      <c r="O28" s="79"/>
      <c r="P28" s="79"/>
      <c r="Q28" s="86">
        <f>7363+10408</f>
        <v>17771</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304460.71520000004</v>
      </c>
      <c r="H30" s="115"/>
      <c r="I30" s="20"/>
      <c r="J30" s="47"/>
      <c r="K30" s="19"/>
      <c r="L30" s="112" t="s">
        <v>239</v>
      </c>
      <c r="M30" s="113"/>
      <c r="N30" s="113"/>
      <c r="O30" s="113"/>
      <c r="P30" s="113"/>
      <c r="Q30" s="114">
        <f>SUM(Q9:R29)</f>
        <v>495031.72879999998</v>
      </c>
      <c r="R30" s="115"/>
      <c r="S30" s="20"/>
    </row>
    <row r="31" spans="1:19" ht="20.25" customHeight="1" thickBot="1" x14ac:dyDescent="0.3">
      <c r="A31" s="21"/>
      <c r="B31" s="101" t="s">
        <v>240</v>
      </c>
      <c r="C31" s="102"/>
      <c r="D31" s="102"/>
      <c r="E31" s="102"/>
      <c r="F31" s="102"/>
      <c r="G31" s="116">
        <f>G30*1.2</f>
        <v>365352.85824000003</v>
      </c>
      <c r="H31" s="117"/>
      <c r="I31" s="22"/>
      <c r="J31" s="47"/>
      <c r="K31" s="21"/>
      <c r="L31" s="101" t="s">
        <v>240</v>
      </c>
      <c r="M31" s="102"/>
      <c r="N31" s="102"/>
      <c r="O31" s="102"/>
      <c r="P31" s="102"/>
      <c r="Q31" s="116">
        <f>Q30*1.2</f>
        <v>594038.07455999998</v>
      </c>
      <c r="R31" s="117"/>
      <c r="S31" s="22"/>
    </row>
    <row r="32" spans="1:19" ht="20.25" customHeight="1" thickBot="1" x14ac:dyDescent="0.3">
      <c r="A32" s="24"/>
      <c r="B32" s="96" t="s">
        <v>443</v>
      </c>
      <c r="C32" s="97"/>
      <c r="D32" s="97"/>
      <c r="E32" s="97"/>
      <c r="F32" s="97"/>
      <c r="G32" s="295">
        <v>356743.26</v>
      </c>
      <c r="H32" s="296"/>
      <c r="I32" s="297"/>
      <c r="J32" s="47"/>
      <c r="K32" s="24"/>
      <c r="L32" s="96" t="s">
        <v>443</v>
      </c>
      <c r="M32" s="97"/>
      <c r="N32" s="97"/>
      <c r="O32" s="97"/>
      <c r="P32" s="97"/>
      <c r="Q32" s="295">
        <v>600873.80000000005</v>
      </c>
      <c r="R32" s="296"/>
      <c r="S32" s="297"/>
    </row>
    <row r="33" spans="1:19" ht="20.25" customHeight="1" thickBot="1" x14ac:dyDescent="0.3">
      <c r="A33" s="19"/>
      <c r="B33" s="101" t="s">
        <v>242</v>
      </c>
      <c r="C33" s="102"/>
      <c r="D33" s="102"/>
      <c r="E33" s="102"/>
      <c r="F33" s="102"/>
      <c r="G33" s="116">
        <v>365123.17</v>
      </c>
      <c r="H33" s="298"/>
      <c r="I33" s="214"/>
      <c r="J33" s="48"/>
      <c r="K33" s="19"/>
      <c r="L33" s="101" t="s">
        <v>242</v>
      </c>
      <c r="M33" s="102"/>
      <c r="N33" s="102"/>
      <c r="O33" s="102"/>
      <c r="P33" s="102"/>
      <c r="Q33" s="116">
        <v>594742.81999999995</v>
      </c>
      <c r="R33" s="298"/>
      <c r="S33" s="214"/>
    </row>
    <row r="34" spans="1:19" ht="20.25" customHeight="1" thickBot="1" x14ac:dyDescent="0.3">
      <c r="A34" s="19"/>
      <c r="B34" s="106" t="s">
        <v>444</v>
      </c>
      <c r="C34" s="107"/>
      <c r="D34" s="107"/>
      <c r="E34" s="107"/>
      <c r="F34" s="107"/>
      <c r="G34" s="116">
        <v>54972.45</v>
      </c>
      <c r="H34" s="298"/>
      <c r="I34" s="214"/>
      <c r="J34" s="49"/>
      <c r="K34" s="19"/>
      <c r="L34" s="106" t="s">
        <v>444</v>
      </c>
      <c r="M34" s="107"/>
      <c r="N34" s="107"/>
      <c r="O34" s="107"/>
      <c r="P34" s="107"/>
      <c r="Q34" s="116">
        <v>108977.87</v>
      </c>
      <c r="R34" s="298"/>
      <c r="S34" s="214"/>
    </row>
    <row r="35" spans="1:19" x14ac:dyDescent="0.25">
      <c r="A35" s="3"/>
      <c r="I35" s="5"/>
      <c r="K35" s="3"/>
      <c r="S35" s="5"/>
    </row>
    <row r="36" spans="1:19" ht="15.75" x14ac:dyDescent="0.25">
      <c r="A36" s="30"/>
      <c r="C36" s="30"/>
      <c r="K36" s="30"/>
      <c r="N36" s="30"/>
    </row>
    <row r="37" spans="1:19" ht="15.75" x14ac:dyDescent="0.25">
      <c r="A37" s="30"/>
      <c r="C37" s="30"/>
      <c r="K37" s="30"/>
      <c r="N37" s="30"/>
    </row>
    <row r="38" spans="1:19" x14ac:dyDescent="0.25">
      <c r="A38" s="3"/>
      <c r="B38" s="3"/>
      <c r="C38" s="3"/>
      <c r="D38" s="3"/>
      <c r="E38" s="4" t="s">
        <v>204</v>
      </c>
      <c r="F38" s="3"/>
      <c r="G38" s="3"/>
      <c r="H38" s="3"/>
      <c r="I38" s="3"/>
      <c r="K38" s="3"/>
      <c r="L38" s="3"/>
      <c r="M38" s="3"/>
      <c r="N38" s="3"/>
      <c r="O38" s="4" t="s">
        <v>204</v>
      </c>
      <c r="P38" s="3"/>
      <c r="Q38" s="3"/>
      <c r="R38" s="3"/>
      <c r="S38" s="3"/>
    </row>
    <row r="39" spans="1:19" x14ac:dyDescent="0.25">
      <c r="A39" s="3" t="s">
        <v>205</v>
      </c>
      <c r="B39" s="3"/>
      <c r="C39" s="3"/>
      <c r="D39" s="3" t="s">
        <v>289</v>
      </c>
      <c r="E39" s="3"/>
      <c r="F39" s="3"/>
      <c r="G39" s="3"/>
      <c r="H39" s="3"/>
      <c r="I39" s="3"/>
      <c r="K39" s="3" t="s">
        <v>205</v>
      </c>
      <c r="L39" s="3"/>
      <c r="M39" s="3"/>
      <c r="N39" s="3" t="s">
        <v>290</v>
      </c>
      <c r="O39" s="3"/>
      <c r="P39" s="3"/>
      <c r="Q39" s="3"/>
      <c r="R39" s="3"/>
      <c r="S39" s="3"/>
    </row>
    <row r="40" spans="1:19" x14ac:dyDescent="0.25">
      <c r="A40" s="3"/>
      <c r="B40" s="5" t="s">
        <v>440</v>
      </c>
      <c r="C40" s="3"/>
      <c r="D40" s="3"/>
      <c r="E40" s="3"/>
      <c r="F40" s="3"/>
      <c r="G40" s="3"/>
      <c r="H40" s="3"/>
      <c r="I40" s="3"/>
      <c r="J40" s="3"/>
      <c r="K40" s="3"/>
      <c r="L40" s="5" t="s">
        <v>440</v>
      </c>
      <c r="M40" s="3"/>
      <c r="N40" s="3"/>
      <c r="O40" s="3"/>
      <c r="P40" s="3"/>
      <c r="Q40" s="3"/>
      <c r="R40" s="3"/>
      <c r="S40" s="3"/>
    </row>
    <row r="41" spans="1:19" ht="15.75" thickBot="1" x14ac:dyDescent="0.3">
      <c r="A41" s="3"/>
      <c r="B41" s="5" t="s">
        <v>206</v>
      </c>
      <c r="C41" s="3"/>
      <c r="D41" s="3"/>
      <c r="E41" s="3"/>
      <c r="F41" s="3">
        <v>5987.4</v>
      </c>
      <c r="G41" s="3" t="s">
        <v>207</v>
      </c>
      <c r="H41" s="3"/>
      <c r="I41" s="3"/>
      <c r="J41" s="3"/>
      <c r="K41" s="3"/>
      <c r="L41" s="5" t="s">
        <v>206</v>
      </c>
      <c r="M41" s="3"/>
      <c r="N41" s="3"/>
      <c r="O41" s="3"/>
      <c r="P41" s="3">
        <v>7279.4</v>
      </c>
      <c r="Q41" s="3" t="s">
        <v>207</v>
      </c>
      <c r="R41" s="3"/>
      <c r="S41" s="3"/>
    </row>
    <row r="42" spans="1:19" ht="15" customHeight="1" x14ac:dyDescent="0.25">
      <c r="A42" s="175" t="s">
        <v>209</v>
      </c>
      <c r="B42" s="177" t="s">
        <v>210</v>
      </c>
      <c r="C42" s="178"/>
      <c r="D42" s="178"/>
      <c r="E42" s="178"/>
      <c r="F42" s="178"/>
      <c r="G42" s="180" t="s">
        <v>442</v>
      </c>
      <c r="H42" s="181"/>
      <c r="I42" s="175" t="s">
        <v>212</v>
      </c>
      <c r="J42" s="51"/>
      <c r="K42" s="175" t="s">
        <v>209</v>
      </c>
      <c r="L42" s="177" t="s">
        <v>210</v>
      </c>
      <c r="M42" s="178"/>
      <c r="N42" s="178"/>
      <c r="O42" s="178"/>
      <c r="P42" s="178"/>
      <c r="Q42" s="180" t="s">
        <v>442</v>
      </c>
      <c r="R42" s="181"/>
      <c r="S42" s="175" t="s">
        <v>212</v>
      </c>
    </row>
    <row r="43" spans="1:19" ht="69" customHeight="1" thickBot="1" x14ac:dyDescent="0.3">
      <c r="A43" s="176"/>
      <c r="B43" s="179"/>
      <c r="C43" s="179"/>
      <c r="D43" s="179"/>
      <c r="E43" s="179"/>
      <c r="F43" s="179"/>
      <c r="G43" s="182"/>
      <c r="H43" s="183"/>
      <c r="I43" s="184"/>
      <c r="J43" s="52"/>
      <c r="K43" s="176"/>
      <c r="L43" s="179"/>
      <c r="M43" s="179"/>
      <c r="N43" s="179"/>
      <c r="O43" s="179"/>
      <c r="P43" s="179"/>
      <c r="Q43" s="182"/>
      <c r="R43" s="183"/>
      <c r="S43" s="184"/>
    </row>
    <row r="44" spans="1:19" ht="15" customHeight="1" x14ac:dyDescent="0.25">
      <c r="A44" s="185" t="s">
        <v>213</v>
      </c>
      <c r="B44" s="187" t="s">
        <v>354</v>
      </c>
      <c r="C44" s="188"/>
      <c r="D44" s="188"/>
      <c r="E44" s="188"/>
      <c r="F44" s="188"/>
      <c r="G44" s="190">
        <v>126111.13</v>
      </c>
      <c r="H44" s="191"/>
      <c r="I44" s="192"/>
      <c r="J44" s="53"/>
      <c r="K44" s="185" t="s">
        <v>213</v>
      </c>
      <c r="L44" s="187" t="s">
        <v>354</v>
      </c>
      <c r="M44" s="188"/>
      <c r="N44" s="188"/>
      <c r="O44" s="188"/>
      <c r="P44" s="188"/>
      <c r="Q44" s="190">
        <v>176438.95</v>
      </c>
      <c r="R44" s="191"/>
      <c r="S44" s="192"/>
    </row>
    <row r="45" spans="1:19" ht="7.5" customHeight="1" thickBot="1" x14ac:dyDescent="0.3">
      <c r="A45" s="186"/>
      <c r="B45" s="189"/>
      <c r="C45" s="189"/>
      <c r="D45" s="189"/>
      <c r="E45" s="189"/>
      <c r="F45" s="189"/>
      <c r="G45" s="193"/>
      <c r="H45" s="194"/>
      <c r="I45" s="128"/>
      <c r="J45" s="54"/>
      <c r="K45" s="186"/>
      <c r="L45" s="189"/>
      <c r="M45" s="189"/>
      <c r="N45" s="189"/>
      <c r="O45" s="189"/>
      <c r="P45" s="189"/>
      <c r="Q45" s="193"/>
      <c r="R45" s="194"/>
      <c r="S45" s="128"/>
    </row>
    <row r="46" spans="1:19" ht="17.25" customHeight="1" x14ac:dyDescent="0.25">
      <c r="A46" s="6"/>
      <c r="B46" s="161" t="s">
        <v>214</v>
      </c>
      <c r="C46" s="162"/>
      <c r="D46" s="162"/>
      <c r="E46" s="162"/>
      <c r="F46" s="162"/>
      <c r="G46" s="163">
        <f>1.48*12*F41</f>
        <v>106336.22399999999</v>
      </c>
      <c r="H46" s="164"/>
      <c r="I46" s="169" t="s">
        <v>215</v>
      </c>
      <c r="J46" s="42"/>
      <c r="K46" s="6"/>
      <c r="L46" s="161" t="s">
        <v>214</v>
      </c>
      <c r="M46" s="162"/>
      <c r="N46" s="162"/>
      <c r="O46" s="162"/>
      <c r="P46" s="162"/>
      <c r="Q46" s="163">
        <f>1.65*12*P41</f>
        <v>144132.11999999997</v>
      </c>
      <c r="R46" s="164"/>
      <c r="S46" s="169" t="s">
        <v>215</v>
      </c>
    </row>
    <row r="47" spans="1:19" ht="30" customHeight="1" thickBot="1" x14ac:dyDescent="0.3">
      <c r="A47" s="7"/>
      <c r="B47" s="171" t="s">
        <v>216</v>
      </c>
      <c r="C47" s="172"/>
      <c r="D47" s="172"/>
      <c r="E47" s="172"/>
      <c r="F47" s="172"/>
      <c r="G47" s="165"/>
      <c r="H47" s="166"/>
      <c r="I47" s="170"/>
      <c r="J47" s="43"/>
      <c r="K47" s="7"/>
      <c r="L47" s="171" t="s">
        <v>216</v>
      </c>
      <c r="M47" s="172"/>
      <c r="N47" s="172"/>
      <c r="O47" s="172"/>
      <c r="P47" s="172"/>
      <c r="Q47" s="165"/>
      <c r="R47" s="166"/>
      <c r="S47" s="170"/>
    </row>
    <row r="48" spans="1:19" ht="13.5" customHeight="1" thickBot="1" x14ac:dyDescent="0.3">
      <c r="A48" s="7"/>
      <c r="B48" s="173" t="s">
        <v>217</v>
      </c>
      <c r="C48" s="174"/>
      <c r="D48" s="174"/>
      <c r="E48" s="174"/>
      <c r="F48" s="174"/>
      <c r="G48" s="167"/>
      <c r="H48" s="168"/>
      <c r="I48" s="8" t="s">
        <v>218</v>
      </c>
      <c r="J48" s="43"/>
      <c r="K48" s="7"/>
      <c r="L48" s="173" t="s">
        <v>217</v>
      </c>
      <c r="M48" s="174"/>
      <c r="N48" s="174"/>
      <c r="O48" s="174"/>
      <c r="P48" s="174"/>
      <c r="Q48" s="167"/>
      <c r="R48" s="168"/>
      <c r="S48" s="8" t="s">
        <v>218</v>
      </c>
    </row>
    <row r="49" spans="1:19" ht="20.25" customHeight="1" thickBot="1" x14ac:dyDescent="0.3">
      <c r="A49" s="7"/>
      <c r="B49" s="141" t="s">
        <v>219</v>
      </c>
      <c r="C49" s="142"/>
      <c r="D49" s="142"/>
      <c r="E49" s="142"/>
      <c r="F49" s="142"/>
      <c r="G49" s="143">
        <f>1748.85*3*12</f>
        <v>62958.599999999991</v>
      </c>
      <c r="H49" s="144"/>
      <c r="I49" s="8" t="s">
        <v>220</v>
      </c>
      <c r="J49" s="55"/>
      <c r="K49" s="7"/>
      <c r="L49" s="141" t="s">
        <v>219</v>
      </c>
      <c r="M49" s="142"/>
      <c r="N49" s="142"/>
      <c r="O49" s="142"/>
      <c r="P49" s="142"/>
      <c r="Q49" s="143">
        <f>1748.85*12*4</f>
        <v>83944.799999999988</v>
      </c>
      <c r="R49" s="144"/>
      <c r="S49" s="8" t="s">
        <v>220</v>
      </c>
    </row>
    <row r="50" spans="1:19" ht="20.25" customHeight="1" thickBot="1" x14ac:dyDescent="0.3">
      <c r="A50" s="7"/>
      <c r="B50" s="141" t="s">
        <v>221</v>
      </c>
      <c r="C50" s="142"/>
      <c r="D50" s="142"/>
      <c r="E50" s="142"/>
      <c r="F50" s="142"/>
      <c r="G50" s="143">
        <f>0.474*12*F41</f>
        <v>34056.331199999993</v>
      </c>
      <c r="H50" s="144"/>
      <c r="I50" s="8" t="s">
        <v>222</v>
      </c>
      <c r="J50" s="56"/>
      <c r="K50" s="7"/>
      <c r="L50" s="141" t="s">
        <v>221</v>
      </c>
      <c r="M50" s="142"/>
      <c r="N50" s="142"/>
      <c r="O50" s="142"/>
      <c r="P50" s="142"/>
      <c r="Q50" s="143">
        <f>0.474*12*P41</f>
        <v>41405.227199999994</v>
      </c>
      <c r="R50" s="144"/>
      <c r="S50" s="8" t="s">
        <v>222</v>
      </c>
    </row>
    <row r="51" spans="1:19" ht="13.5" customHeight="1" x14ac:dyDescent="0.25">
      <c r="A51" s="9"/>
      <c r="B51" s="145" t="s">
        <v>223</v>
      </c>
      <c r="C51" s="146"/>
      <c r="D51" s="146"/>
      <c r="E51" s="146"/>
      <c r="F51" s="146"/>
      <c r="G51" s="86">
        <f>1.89*12*F41</f>
        <v>135794.23199999999</v>
      </c>
      <c r="H51" s="147"/>
      <c r="I51" s="152" t="s">
        <v>224</v>
      </c>
      <c r="J51" s="56"/>
      <c r="K51" s="9"/>
      <c r="L51" s="145" t="s">
        <v>223</v>
      </c>
      <c r="M51" s="146"/>
      <c r="N51" s="146"/>
      <c r="O51" s="146"/>
      <c r="P51" s="146"/>
      <c r="Q51" s="86">
        <f>2.09*12*P41</f>
        <v>182567.35199999998</v>
      </c>
      <c r="R51" s="147"/>
      <c r="S51" s="152" t="s">
        <v>224</v>
      </c>
    </row>
    <row r="52" spans="1:19" ht="17.25" customHeight="1" x14ac:dyDescent="0.25">
      <c r="A52" s="10"/>
      <c r="B52" s="155" t="s">
        <v>226</v>
      </c>
      <c r="C52" s="156"/>
      <c r="D52" s="156"/>
      <c r="E52" s="156"/>
      <c r="F52" s="156"/>
      <c r="G52" s="148"/>
      <c r="H52" s="149"/>
      <c r="I52" s="153"/>
      <c r="J52" s="57"/>
      <c r="K52" s="10"/>
      <c r="L52" s="155" t="s">
        <v>226</v>
      </c>
      <c r="M52" s="156"/>
      <c r="N52" s="156"/>
      <c r="O52" s="156"/>
      <c r="P52" s="156"/>
      <c r="Q52" s="148"/>
      <c r="R52" s="149"/>
      <c r="S52" s="153"/>
    </row>
    <row r="53" spans="1:19" ht="18.75" customHeight="1" thickBot="1" x14ac:dyDescent="0.3">
      <c r="A53" s="10"/>
      <c r="B53" s="157" t="s">
        <v>227</v>
      </c>
      <c r="C53" s="158"/>
      <c r="D53" s="158"/>
      <c r="E53" s="158"/>
      <c r="F53" s="158"/>
      <c r="G53" s="148"/>
      <c r="H53" s="149"/>
      <c r="I53" s="154"/>
      <c r="J53" s="43"/>
      <c r="K53" s="10"/>
      <c r="L53" s="157" t="s">
        <v>227</v>
      </c>
      <c r="M53" s="158"/>
      <c r="N53" s="158"/>
      <c r="O53" s="158"/>
      <c r="P53" s="158"/>
      <c r="Q53" s="148"/>
      <c r="R53" s="149"/>
      <c r="S53" s="154"/>
    </row>
    <row r="54" spans="1:19" ht="13.5" customHeight="1" thickBot="1" x14ac:dyDescent="0.3">
      <c r="A54" s="10"/>
      <c r="B54" s="159" t="s">
        <v>228</v>
      </c>
      <c r="C54" s="160"/>
      <c r="D54" s="160"/>
      <c r="E54" s="160"/>
      <c r="F54" s="160"/>
      <c r="G54" s="150"/>
      <c r="H54" s="151"/>
      <c r="I54" s="11" t="s">
        <v>229</v>
      </c>
      <c r="J54" s="43"/>
      <c r="K54" s="10"/>
      <c r="L54" s="159" t="s">
        <v>228</v>
      </c>
      <c r="M54" s="160"/>
      <c r="N54" s="160"/>
      <c r="O54" s="160"/>
      <c r="P54" s="160"/>
      <c r="Q54" s="150"/>
      <c r="R54" s="151"/>
      <c r="S54" s="11" t="s">
        <v>229</v>
      </c>
    </row>
    <row r="55" spans="1:19" ht="13.5" customHeight="1" x14ac:dyDescent="0.25">
      <c r="A55" s="12"/>
      <c r="B55" s="125" t="s">
        <v>230</v>
      </c>
      <c r="C55" s="126"/>
      <c r="D55" s="126"/>
      <c r="E55" s="126"/>
      <c r="F55" s="126"/>
      <c r="G55" s="86">
        <f>0.048*12*F41</f>
        <v>3448.7424000000001</v>
      </c>
      <c r="H55" s="87"/>
      <c r="I55" s="129" t="s">
        <v>220</v>
      </c>
      <c r="J55" s="43"/>
      <c r="K55" s="12"/>
      <c r="L55" s="125" t="s">
        <v>230</v>
      </c>
      <c r="M55" s="126"/>
      <c r="N55" s="126"/>
      <c r="O55" s="126"/>
      <c r="P55" s="126"/>
      <c r="Q55" s="86">
        <f>0.048*12*P41</f>
        <v>4192.9344000000001</v>
      </c>
      <c r="R55" s="87"/>
      <c r="S55" s="129" t="s">
        <v>220</v>
      </c>
    </row>
    <row r="56" spans="1:19" ht="13.5" customHeight="1" thickBot="1" x14ac:dyDescent="0.3">
      <c r="A56" s="7"/>
      <c r="B56" s="131" t="s">
        <v>231</v>
      </c>
      <c r="C56" s="132"/>
      <c r="D56" s="132"/>
      <c r="E56" s="132"/>
      <c r="F56" s="132"/>
      <c r="G56" s="127"/>
      <c r="H56" s="128"/>
      <c r="I56" s="130"/>
      <c r="J56" s="43"/>
      <c r="K56" s="7"/>
      <c r="L56" s="131" t="s">
        <v>231</v>
      </c>
      <c r="M56" s="132"/>
      <c r="N56" s="132"/>
      <c r="O56" s="132"/>
      <c r="P56" s="132"/>
      <c r="Q56" s="127"/>
      <c r="R56" s="128"/>
      <c r="S56" s="130"/>
    </row>
    <row r="57" spans="1:19" ht="15.75" customHeight="1" thickBot="1" x14ac:dyDescent="0.3">
      <c r="A57" s="13"/>
      <c r="B57" s="133" t="s">
        <v>232</v>
      </c>
      <c r="C57" s="134"/>
      <c r="D57" s="134"/>
      <c r="E57" s="134"/>
      <c r="F57" s="134"/>
      <c r="G57" s="135"/>
      <c r="H57" s="136"/>
      <c r="I57" s="14"/>
      <c r="J57" s="58"/>
      <c r="K57" s="13"/>
      <c r="L57" s="133" t="s">
        <v>232</v>
      </c>
      <c r="M57" s="134"/>
      <c r="N57" s="134"/>
      <c r="O57" s="134"/>
      <c r="P57" s="134"/>
      <c r="Q57" s="135"/>
      <c r="R57" s="136"/>
      <c r="S57" s="14"/>
    </row>
    <row r="58" spans="1:19" ht="30.75" customHeight="1" thickBot="1" x14ac:dyDescent="0.3">
      <c r="A58" s="13"/>
      <c r="B58" s="84" t="s">
        <v>233</v>
      </c>
      <c r="C58" s="85"/>
      <c r="D58" s="85"/>
      <c r="E58" s="85"/>
      <c r="F58" s="85"/>
      <c r="G58" s="86">
        <f>1.1*12*F41</f>
        <v>79033.680000000008</v>
      </c>
      <c r="H58" s="87"/>
      <c r="I58" s="317" t="s">
        <v>506</v>
      </c>
      <c r="J58" s="41"/>
      <c r="K58" s="13"/>
      <c r="L58" s="84" t="s">
        <v>233</v>
      </c>
      <c r="M58" s="85"/>
      <c r="N58" s="85"/>
      <c r="O58" s="85"/>
      <c r="P58" s="85"/>
      <c r="Q58" s="86">
        <f>1.39*12*P41</f>
        <v>121420.39199999999</v>
      </c>
      <c r="R58" s="87"/>
      <c r="S58" s="317" t="s">
        <v>507</v>
      </c>
    </row>
    <row r="59" spans="1:19" ht="57.75" customHeight="1" x14ac:dyDescent="0.25">
      <c r="A59" s="118"/>
      <c r="B59" s="121" t="s">
        <v>226</v>
      </c>
      <c r="C59" s="122"/>
      <c r="D59" s="122"/>
      <c r="E59" s="122"/>
      <c r="F59" s="122"/>
      <c r="G59" s="88"/>
      <c r="H59" s="89"/>
      <c r="I59" s="318"/>
      <c r="J59" s="41"/>
      <c r="K59" s="118"/>
      <c r="L59" s="121" t="s">
        <v>226</v>
      </c>
      <c r="M59" s="122"/>
      <c r="N59" s="122"/>
      <c r="O59" s="122"/>
      <c r="P59" s="122"/>
      <c r="Q59" s="88"/>
      <c r="R59" s="89"/>
      <c r="S59" s="318"/>
    </row>
    <row r="60" spans="1:19" ht="56.25" customHeight="1" x14ac:dyDescent="0.25">
      <c r="A60" s="119"/>
      <c r="B60" s="121" t="s">
        <v>227</v>
      </c>
      <c r="C60" s="122"/>
      <c r="D60" s="122"/>
      <c r="E60" s="122"/>
      <c r="F60" s="122"/>
      <c r="G60" s="88"/>
      <c r="H60" s="89"/>
      <c r="I60" s="318"/>
      <c r="J60" s="42"/>
      <c r="K60" s="119"/>
      <c r="L60" s="121" t="s">
        <v>227</v>
      </c>
      <c r="M60" s="122"/>
      <c r="N60" s="122"/>
      <c r="O60" s="122"/>
      <c r="P60" s="122"/>
      <c r="Q60" s="88"/>
      <c r="R60" s="89"/>
      <c r="S60" s="318"/>
    </row>
    <row r="61" spans="1:19" ht="58.5" customHeight="1" x14ac:dyDescent="0.25">
      <c r="A61" s="119"/>
      <c r="B61" s="121" t="s">
        <v>228</v>
      </c>
      <c r="C61" s="122"/>
      <c r="D61" s="122"/>
      <c r="E61" s="122"/>
      <c r="F61" s="122"/>
      <c r="G61" s="88"/>
      <c r="H61" s="89"/>
      <c r="I61" s="318"/>
      <c r="J61" s="43"/>
      <c r="K61" s="119"/>
      <c r="L61" s="121" t="s">
        <v>228</v>
      </c>
      <c r="M61" s="122"/>
      <c r="N61" s="122"/>
      <c r="O61" s="122"/>
      <c r="P61" s="122"/>
      <c r="Q61" s="88"/>
      <c r="R61" s="89"/>
      <c r="S61" s="318"/>
    </row>
    <row r="62" spans="1:19" ht="44.25" customHeight="1" thickBot="1" x14ac:dyDescent="0.3">
      <c r="A62" s="120"/>
      <c r="B62" s="123" t="s">
        <v>234</v>
      </c>
      <c r="C62" s="124"/>
      <c r="D62" s="124"/>
      <c r="E62" s="124"/>
      <c r="F62" s="124"/>
      <c r="G62" s="90"/>
      <c r="H62" s="91"/>
      <c r="I62" s="319"/>
      <c r="J62" s="59"/>
      <c r="K62" s="120"/>
      <c r="L62" s="123" t="s">
        <v>234</v>
      </c>
      <c r="M62" s="124"/>
      <c r="N62" s="124"/>
      <c r="O62" s="124"/>
      <c r="P62" s="124"/>
      <c r="Q62" s="90"/>
      <c r="R62" s="91"/>
      <c r="S62" s="319"/>
    </row>
    <row r="63" spans="1:19" ht="11.25" customHeight="1" thickBot="1" x14ac:dyDescent="0.3">
      <c r="A63" s="15"/>
      <c r="B63" s="137"/>
      <c r="C63" s="138"/>
      <c r="D63" s="138"/>
      <c r="E63" s="138"/>
      <c r="F63" s="138"/>
      <c r="G63" s="139"/>
      <c r="H63" s="140"/>
      <c r="I63" s="16"/>
      <c r="J63" s="58"/>
      <c r="K63" s="15"/>
      <c r="L63" s="137"/>
      <c r="M63" s="138"/>
      <c r="N63" s="138"/>
      <c r="O63" s="138"/>
      <c r="P63" s="138"/>
      <c r="Q63" s="139"/>
      <c r="R63" s="140"/>
      <c r="S63" s="16"/>
    </row>
    <row r="64" spans="1:19" ht="25.5" hidden="1" customHeight="1" x14ac:dyDescent="0.25">
      <c r="A64" s="15"/>
      <c r="B64" s="137" t="s">
        <v>235</v>
      </c>
      <c r="C64" s="138"/>
      <c r="D64" s="138"/>
      <c r="E64" s="138"/>
      <c r="F64" s="138"/>
      <c r="G64" s="139"/>
      <c r="H64" s="140"/>
      <c r="I64" s="16"/>
      <c r="J64" s="45"/>
      <c r="K64" s="15"/>
      <c r="L64" s="137" t="s">
        <v>235</v>
      </c>
      <c r="M64" s="138"/>
      <c r="N64" s="138"/>
      <c r="O64" s="138"/>
      <c r="P64" s="138"/>
      <c r="Q64" s="139"/>
      <c r="R64" s="140"/>
      <c r="S64" s="16"/>
    </row>
    <row r="65" spans="1:19" ht="15" customHeight="1" thickBot="1" x14ac:dyDescent="0.3">
      <c r="A65" s="17"/>
      <c r="B65" s="78" t="s">
        <v>237</v>
      </c>
      <c r="C65" s="79"/>
      <c r="D65" s="79"/>
      <c r="E65" s="79"/>
      <c r="F65" s="79"/>
      <c r="G65" s="86">
        <f>46817+2689</f>
        <v>49506</v>
      </c>
      <c r="H65" s="87"/>
      <c r="I65" s="108" t="s">
        <v>229</v>
      </c>
      <c r="J65" s="41"/>
      <c r="K65" s="17"/>
      <c r="L65" s="78" t="s">
        <v>237</v>
      </c>
      <c r="M65" s="79"/>
      <c r="N65" s="79"/>
      <c r="O65" s="79"/>
      <c r="P65" s="79"/>
      <c r="Q65" s="86">
        <f>16601+9365</f>
        <v>25966</v>
      </c>
      <c r="R65" s="87"/>
      <c r="S65" s="108" t="s">
        <v>229</v>
      </c>
    </row>
    <row r="66" spans="1:19" ht="15.75" customHeight="1" thickBot="1" x14ac:dyDescent="0.3">
      <c r="A66" s="18"/>
      <c r="B66" s="110" t="s">
        <v>238</v>
      </c>
      <c r="C66" s="111"/>
      <c r="D66" s="111"/>
      <c r="E66" s="111"/>
      <c r="F66" s="111"/>
      <c r="G66" s="90"/>
      <c r="H66" s="91"/>
      <c r="I66" s="109"/>
      <c r="J66" s="41"/>
      <c r="K66" s="18"/>
      <c r="L66" s="110" t="s">
        <v>238</v>
      </c>
      <c r="M66" s="111"/>
      <c r="N66" s="111"/>
      <c r="O66" s="111"/>
      <c r="P66" s="111"/>
      <c r="Q66" s="90"/>
      <c r="R66" s="91"/>
      <c r="S66" s="109"/>
    </row>
    <row r="67" spans="1:19" ht="15.75" customHeight="1" thickBot="1" x14ac:dyDescent="0.3">
      <c r="A67" s="19"/>
      <c r="B67" s="112" t="s">
        <v>239</v>
      </c>
      <c r="C67" s="113"/>
      <c r="D67" s="113"/>
      <c r="E67" s="113"/>
      <c r="F67" s="113"/>
      <c r="G67" s="114">
        <f>SUM(G46:H66)</f>
        <v>471133.80959999992</v>
      </c>
      <c r="H67" s="115"/>
      <c r="I67" s="20"/>
      <c r="J67" s="60"/>
      <c r="K67" s="19"/>
      <c r="L67" s="112" t="s">
        <v>239</v>
      </c>
      <c r="M67" s="113"/>
      <c r="N67" s="113"/>
      <c r="O67" s="113"/>
      <c r="P67" s="113"/>
      <c r="Q67" s="114">
        <f>SUM(Q46:R66)</f>
        <v>603628.82559999998</v>
      </c>
      <c r="R67" s="115"/>
      <c r="S67" s="20"/>
    </row>
    <row r="68" spans="1:19" ht="15.75" customHeight="1" thickBot="1" x14ac:dyDescent="0.3">
      <c r="A68" s="21"/>
      <c r="B68" s="101" t="s">
        <v>240</v>
      </c>
      <c r="C68" s="102"/>
      <c r="D68" s="102"/>
      <c r="E68" s="102"/>
      <c r="F68" s="102"/>
      <c r="G68" s="116">
        <f>G67*1.2</f>
        <v>565360.57151999988</v>
      </c>
      <c r="H68" s="117"/>
      <c r="I68" s="22"/>
      <c r="J68" s="60"/>
      <c r="K68" s="21"/>
      <c r="L68" s="101" t="s">
        <v>240</v>
      </c>
      <c r="M68" s="102"/>
      <c r="N68" s="102"/>
      <c r="O68" s="102"/>
      <c r="P68" s="102"/>
      <c r="Q68" s="116">
        <f>Q67*1.2</f>
        <v>724354.59071999998</v>
      </c>
      <c r="R68" s="117"/>
      <c r="S68" s="22"/>
    </row>
    <row r="69" spans="1:19" ht="15.75" customHeight="1" thickBot="1" x14ac:dyDescent="0.3">
      <c r="A69" s="24"/>
      <c r="B69" s="96" t="s">
        <v>443</v>
      </c>
      <c r="C69" s="97"/>
      <c r="D69" s="97"/>
      <c r="E69" s="97"/>
      <c r="F69" s="97"/>
      <c r="G69" s="295">
        <v>551109.73</v>
      </c>
      <c r="H69" s="296"/>
      <c r="I69" s="297"/>
      <c r="J69" s="60"/>
      <c r="K69" s="24"/>
      <c r="L69" s="96" t="s">
        <v>443</v>
      </c>
      <c r="M69" s="97"/>
      <c r="N69" s="97"/>
      <c r="O69" s="97"/>
      <c r="P69" s="97"/>
      <c r="Q69" s="295">
        <v>729072.87</v>
      </c>
      <c r="R69" s="296"/>
      <c r="S69" s="297"/>
    </row>
    <row r="70" spans="1:19" ht="15.75" thickBot="1" x14ac:dyDescent="0.3">
      <c r="A70" s="19"/>
      <c r="B70" s="101" t="s">
        <v>242</v>
      </c>
      <c r="C70" s="102"/>
      <c r="D70" s="102"/>
      <c r="E70" s="102"/>
      <c r="F70" s="102"/>
      <c r="G70" s="116">
        <v>560783.80000000005</v>
      </c>
      <c r="H70" s="298"/>
      <c r="I70" s="214"/>
      <c r="K70" s="19"/>
      <c r="L70" s="101" t="s">
        <v>242</v>
      </c>
      <c r="M70" s="102"/>
      <c r="N70" s="102"/>
      <c r="O70" s="102"/>
      <c r="P70" s="102"/>
      <c r="Q70" s="116">
        <v>722586.13</v>
      </c>
      <c r="R70" s="298"/>
      <c r="S70" s="214"/>
    </row>
    <row r="71" spans="1:19" ht="15.75" customHeight="1" thickBot="1" x14ac:dyDescent="0.3">
      <c r="A71" s="19"/>
      <c r="B71" s="106" t="s">
        <v>444</v>
      </c>
      <c r="C71" s="107"/>
      <c r="D71" s="107"/>
      <c r="E71" s="107"/>
      <c r="F71" s="107"/>
      <c r="G71" s="116">
        <v>116437.06</v>
      </c>
      <c r="H71" s="298"/>
      <c r="I71" s="214"/>
      <c r="J71" s="61"/>
      <c r="K71" s="19"/>
      <c r="L71" s="106" t="s">
        <v>444</v>
      </c>
      <c r="M71" s="107"/>
      <c r="N71" s="107"/>
      <c r="O71" s="107"/>
      <c r="P71" s="107"/>
      <c r="Q71" s="116">
        <v>182925.69</v>
      </c>
      <c r="R71" s="298"/>
      <c r="S71" s="214"/>
    </row>
    <row r="72" spans="1:19" x14ac:dyDescent="0.25">
      <c r="A72" s="3"/>
      <c r="I72" s="5"/>
      <c r="K72" s="3"/>
      <c r="S72" s="5"/>
    </row>
    <row r="73" spans="1:19" ht="15.75" x14ac:dyDescent="0.25">
      <c r="C73" s="30"/>
      <c r="K73" s="30"/>
      <c r="N73" s="30"/>
    </row>
    <row r="74" spans="1:19" ht="15.75" x14ac:dyDescent="0.25">
      <c r="A74" s="30"/>
      <c r="C74" s="30"/>
      <c r="K74" s="30"/>
      <c r="N74" s="30"/>
    </row>
    <row r="75" spans="1:19" ht="15.75" x14ac:dyDescent="0.25">
      <c r="A75" s="30"/>
      <c r="C75" s="30"/>
      <c r="K75" s="30"/>
      <c r="N75" s="30"/>
    </row>
    <row r="76" spans="1:19" x14ac:dyDescent="0.25">
      <c r="A76" s="3"/>
      <c r="B76" s="3"/>
      <c r="C76" s="3"/>
      <c r="D76" s="3"/>
      <c r="E76" s="4" t="s">
        <v>204</v>
      </c>
      <c r="F76" s="3"/>
      <c r="G76" s="3"/>
      <c r="H76" s="3"/>
      <c r="I76" s="3"/>
      <c r="K76" s="3"/>
      <c r="L76" s="3"/>
      <c r="M76" s="3"/>
      <c r="N76" s="3"/>
      <c r="O76" s="4" t="s">
        <v>204</v>
      </c>
      <c r="P76" s="3"/>
      <c r="Q76" s="3"/>
      <c r="R76" s="3"/>
      <c r="S76" s="3"/>
    </row>
    <row r="77" spans="1:19" x14ac:dyDescent="0.25">
      <c r="A77" s="3" t="s">
        <v>205</v>
      </c>
      <c r="B77" s="3"/>
      <c r="C77" s="3"/>
      <c r="D77" s="3" t="s">
        <v>291</v>
      </c>
      <c r="E77" s="3"/>
      <c r="F77" s="3"/>
      <c r="G77" s="3"/>
      <c r="H77" s="3"/>
      <c r="I77" s="3"/>
      <c r="K77" s="3" t="s">
        <v>205</v>
      </c>
      <c r="L77" s="3"/>
      <c r="M77" s="3"/>
      <c r="N77" s="3" t="s">
        <v>292</v>
      </c>
      <c r="O77" s="3"/>
      <c r="P77" s="3"/>
      <c r="Q77" s="3"/>
      <c r="R77" s="3"/>
      <c r="S77" s="3"/>
    </row>
    <row r="78" spans="1:19" x14ac:dyDescent="0.25">
      <c r="A78" s="3"/>
      <c r="B78" s="5" t="s">
        <v>440</v>
      </c>
      <c r="C78" s="3"/>
      <c r="D78" s="3"/>
      <c r="E78" s="3"/>
      <c r="F78" s="3"/>
      <c r="G78" s="3"/>
      <c r="H78" s="3"/>
      <c r="I78" s="3"/>
      <c r="J78" s="3"/>
      <c r="K78" s="3"/>
      <c r="L78" s="5" t="s">
        <v>440</v>
      </c>
      <c r="M78" s="3"/>
      <c r="N78" s="3"/>
      <c r="O78" s="3"/>
      <c r="P78" s="3"/>
      <c r="Q78" s="3"/>
      <c r="R78" s="3"/>
      <c r="S78" s="3"/>
    </row>
    <row r="79" spans="1:19" ht="15.75" thickBot="1" x14ac:dyDescent="0.3">
      <c r="A79" s="3"/>
      <c r="B79" s="5" t="s">
        <v>206</v>
      </c>
      <c r="C79" s="3"/>
      <c r="D79" s="3"/>
      <c r="E79" s="3"/>
      <c r="F79" s="3">
        <v>6153.8</v>
      </c>
      <c r="G79" s="3" t="s">
        <v>207</v>
      </c>
      <c r="H79" s="3"/>
      <c r="I79" s="3"/>
      <c r="J79" s="3"/>
      <c r="K79" s="3"/>
      <c r="L79" s="5" t="s">
        <v>206</v>
      </c>
      <c r="M79" s="3"/>
      <c r="N79" s="3"/>
      <c r="O79" s="3"/>
      <c r="P79" s="3">
        <v>6981.4</v>
      </c>
      <c r="Q79" s="3" t="s">
        <v>207</v>
      </c>
      <c r="R79" s="3"/>
      <c r="S79" s="3"/>
    </row>
    <row r="80" spans="1:19" ht="15" customHeight="1" x14ac:dyDescent="0.25">
      <c r="A80" s="175" t="s">
        <v>209</v>
      </c>
      <c r="B80" s="177" t="s">
        <v>210</v>
      </c>
      <c r="C80" s="178"/>
      <c r="D80" s="178"/>
      <c r="E80" s="178"/>
      <c r="F80" s="178"/>
      <c r="G80" s="180" t="s">
        <v>442</v>
      </c>
      <c r="H80" s="181"/>
      <c r="I80" s="175" t="s">
        <v>212</v>
      </c>
      <c r="J80" s="31"/>
      <c r="K80" s="175" t="s">
        <v>209</v>
      </c>
      <c r="L80" s="177" t="s">
        <v>210</v>
      </c>
      <c r="M80" s="178"/>
      <c r="N80" s="178"/>
      <c r="O80" s="178"/>
      <c r="P80" s="178"/>
      <c r="Q80" s="180" t="s">
        <v>442</v>
      </c>
      <c r="R80" s="181"/>
      <c r="S80" s="175" t="s">
        <v>212</v>
      </c>
    </row>
    <row r="81" spans="1:19" ht="75" customHeight="1" thickBot="1" x14ac:dyDescent="0.3">
      <c r="A81" s="176"/>
      <c r="B81" s="179"/>
      <c r="C81" s="179"/>
      <c r="D81" s="179"/>
      <c r="E81" s="179"/>
      <c r="F81" s="179"/>
      <c r="G81" s="182"/>
      <c r="H81" s="183"/>
      <c r="I81" s="184"/>
      <c r="J81" s="32"/>
      <c r="K81" s="176"/>
      <c r="L81" s="179"/>
      <c r="M81" s="179"/>
      <c r="N81" s="179"/>
      <c r="O81" s="179"/>
      <c r="P81" s="179"/>
      <c r="Q81" s="182"/>
      <c r="R81" s="183"/>
      <c r="S81" s="184"/>
    </row>
    <row r="82" spans="1:19" ht="15" customHeight="1" x14ac:dyDescent="0.25">
      <c r="A82" s="185" t="s">
        <v>213</v>
      </c>
      <c r="B82" s="187" t="s">
        <v>354</v>
      </c>
      <c r="C82" s="188"/>
      <c r="D82" s="188"/>
      <c r="E82" s="188"/>
      <c r="F82" s="188"/>
      <c r="G82" s="190">
        <v>188558.44</v>
      </c>
      <c r="H82" s="191"/>
      <c r="I82" s="192"/>
      <c r="J82" s="33"/>
      <c r="K82" s="185" t="s">
        <v>213</v>
      </c>
      <c r="L82" s="187" t="s">
        <v>354</v>
      </c>
      <c r="M82" s="188"/>
      <c r="N82" s="188"/>
      <c r="O82" s="188"/>
      <c r="P82" s="188"/>
      <c r="Q82" s="190">
        <v>292519.15000000002</v>
      </c>
      <c r="R82" s="191"/>
      <c r="S82" s="192"/>
    </row>
    <row r="83" spans="1:19" ht="5.25" customHeight="1" thickBot="1" x14ac:dyDescent="0.3">
      <c r="A83" s="186"/>
      <c r="B83" s="189"/>
      <c r="C83" s="189"/>
      <c r="D83" s="189"/>
      <c r="E83" s="189"/>
      <c r="F83" s="189"/>
      <c r="G83" s="193"/>
      <c r="H83" s="194"/>
      <c r="I83" s="128"/>
      <c r="J83" s="34"/>
      <c r="K83" s="186"/>
      <c r="L83" s="189"/>
      <c r="M83" s="189"/>
      <c r="N83" s="189"/>
      <c r="O83" s="189"/>
      <c r="P83" s="189"/>
      <c r="Q83" s="193"/>
      <c r="R83" s="194"/>
      <c r="S83" s="128"/>
    </row>
    <row r="84" spans="1:19" ht="15" customHeight="1" x14ac:dyDescent="0.25">
      <c r="A84" s="6"/>
      <c r="B84" s="161" t="s">
        <v>214</v>
      </c>
      <c r="C84" s="162"/>
      <c r="D84" s="162"/>
      <c r="E84" s="162"/>
      <c r="F84" s="162"/>
      <c r="G84" s="163">
        <f>1.45*12*F79</f>
        <v>107076.12</v>
      </c>
      <c r="H84" s="164"/>
      <c r="I84" s="169" t="s">
        <v>215</v>
      </c>
      <c r="J84" s="35"/>
      <c r="K84" s="6"/>
      <c r="L84" s="161" t="s">
        <v>214</v>
      </c>
      <c r="M84" s="162"/>
      <c r="N84" s="162"/>
      <c r="O84" s="162"/>
      <c r="P84" s="162"/>
      <c r="Q84" s="163">
        <f>1.8*12*P79</f>
        <v>150798.24</v>
      </c>
      <c r="R84" s="164"/>
      <c r="S84" s="169" t="s">
        <v>215</v>
      </c>
    </row>
    <row r="85" spans="1:19" ht="33" customHeight="1" thickBot="1" x14ac:dyDescent="0.3">
      <c r="A85" s="7"/>
      <c r="B85" s="171" t="s">
        <v>216</v>
      </c>
      <c r="C85" s="172"/>
      <c r="D85" s="172"/>
      <c r="E85" s="172"/>
      <c r="F85" s="172"/>
      <c r="G85" s="165"/>
      <c r="H85" s="166"/>
      <c r="I85" s="170"/>
      <c r="J85" s="36"/>
      <c r="K85" s="7"/>
      <c r="L85" s="171" t="s">
        <v>216</v>
      </c>
      <c r="M85" s="172"/>
      <c r="N85" s="172"/>
      <c r="O85" s="172"/>
      <c r="P85" s="172"/>
      <c r="Q85" s="165"/>
      <c r="R85" s="166"/>
      <c r="S85" s="170"/>
    </row>
    <row r="86" spans="1:19" ht="13.5" customHeight="1" thickBot="1" x14ac:dyDescent="0.3">
      <c r="A86" s="7"/>
      <c r="B86" s="173" t="s">
        <v>217</v>
      </c>
      <c r="C86" s="174"/>
      <c r="D86" s="174"/>
      <c r="E86" s="174"/>
      <c r="F86" s="174"/>
      <c r="G86" s="167"/>
      <c r="H86" s="168"/>
      <c r="I86" s="8" t="s">
        <v>218</v>
      </c>
      <c r="J86" s="36"/>
      <c r="K86" s="7"/>
      <c r="L86" s="173" t="s">
        <v>217</v>
      </c>
      <c r="M86" s="174"/>
      <c r="N86" s="174"/>
      <c r="O86" s="174"/>
      <c r="P86" s="174"/>
      <c r="Q86" s="167"/>
      <c r="R86" s="168"/>
      <c r="S86" s="8" t="s">
        <v>218</v>
      </c>
    </row>
    <row r="87" spans="1:19" ht="17.25" customHeight="1" thickBot="1" x14ac:dyDescent="0.3">
      <c r="A87" s="7"/>
      <c r="B87" s="141" t="s">
        <v>219</v>
      </c>
      <c r="C87" s="142"/>
      <c r="D87" s="142"/>
      <c r="E87" s="142"/>
      <c r="F87" s="142"/>
      <c r="G87" s="143">
        <f>1748.85*3*12</f>
        <v>62958.599999999991</v>
      </c>
      <c r="H87" s="144"/>
      <c r="I87" s="8" t="s">
        <v>220</v>
      </c>
      <c r="J87" s="37"/>
      <c r="K87" s="7"/>
      <c r="L87" s="141" t="s">
        <v>219</v>
      </c>
      <c r="M87" s="142"/>
      <c r="N87" s="142"/>
      <c r="O87" s="142"/>
      <c r="P87" s="142"/>
      <c r="Q87" s="143">
        <f>2400*2*12</f>
        <v>57600</v>
      </c>
      <c r="R87" s="144"/>
      <c r="S87" s="8" t="s">
        <v>220</v>
      </c>
    </row>
    <row r="88" spans="1:19" ht="17.25" customHeight="1" thickBot="1" x14ac:dyDescent="0.3">
      <c r="A88" s="7"/>
      <c r="B88" s="141" t="s">
        <v>221</v>
      </c>
      <c r="C88" s="142"/>
      <c r="D88" s="142"/>
      <c r="E88" s="142"/>
      <c r="F88" s="142"/>
      <c r="G88" s="143">
        <f>0.474*12*F79</f>
        <v>35002.814400000003</v>
      </c>
      <c r="H88" s="144"/>
      <c r="I88" s="8" t="s">
        <v>222</v>
      </c>
      <c r="J88" s="38"/>
      <c r="K88" s="7"/>
      <c r="L88" s="141" t="s">
        <v>221</v>
      </c>
      <c r="M88" s="142"/>
      <c r="N88" s="142"/>
      <c r="O88" s="142"/>
      <c r="P88" s="142"/>
      <c r="Q88" s="143">
        <f>0.474*12*P79</f>
        <v>39710.203199999996</v>
      </c>
      <c r="R88" s="144"/>
      <c r="S88" s="8" t="s">
        <v>222</v>
      </c>
    </row>
    <row r="89" spans="1:19" ht="13.5" customHeight="1" x14ac:dyDescent="0.25">
      <c r="A89" s="9"/>
      <c r="B89" s="145" t="s">
        <v>223</v>
      </c>
      <c r="C89" s="146"/>
      <c r="D89" s="146"/>
      <c r="E89" s="146"/>
      <c r="F89" s="146"/>
      <c r="G89" s="86">
        <f>1.99*12*F79</f>
        <v>146952.74400000001</v>
      </c>
      <c r="H89" s="147"/>
      <c r="I89" s="152" t="s">
        <v>224</v>
      </c>
      <c r="J89" s="38"/>
      <c r="K89" s="9"/>
      <c r="L89" s="145" t="s">
        <v>223</v>
      </c>
      <c r="M89" s="146"/>
      <c r="N89" s="146"/>
      <c r="O89" s="146"/>
      <c r="P89" s="146"/>
      <c r="Q89" s="86">
        <f>1.99*12*P79</f>
        <v>166715.83199999999</v>
      </c>
      <c r="R89" s="147"/>
      <c r="S89" s="152" t="s">
        <v>224</v>
      </c>
    </row>
    <row r="90" spans="1:19" ht="13.5" customHeight="1" x14ac:dyDescent="0.25">
      <c r="A90" s="10"/>
      <c r="B90" s="155" t="s">
        <v>226</v>
      </c>
      <c r="C90" s="156"/>
      <c r="D90" s="156"/>
      <c r="E90" s="156"/>
      <c r="F90" s="156"/>
      <c r="G90" s="148"/>
      <c r="H90" s="149"/>
      <c r="I90" s="153"/>
      <c r="J90" s="39"/>
      <c r="K90" s="10"/>
      <c r="L90" s="155" t="s">
        <v>226</v>
      </c>
      <c r="M90" s="156"/>
      <c r="N90" s="156"/>
      <c r="O90" s="156"/>
      <c r="P90" s="156"/>
      <c r="Q90" s="148"/>
      <c r="R90" s="149"/>
      <c r="S90" s="153"/>
    </row>
    <row r="91" spans="1:19" ht="13.5" customHeight="1" thickBot="1" x14ac:dyDescent="0.3">
      <c r="A91" s="10"/>
      <c r="B91" s="157" t="s">
        <v>227</v>
      </c>
      <c r="C91" s="158"/>
      <c r="D91" s="158"/>
      <c r="E91" s="158"/>
      <c r="F91" s="158"/>
      <c r="G91" s="148"/>
      <c r="H91" s="149"/>
      <c r="I91" s="154"/>
      <c r="J91" s="36"/>
      <c r="K91" s="10"/>
      <c r="L91" s="157" t="s">
        <v>227</v>
      </c>
      <c r="M91" s="158"/>
      <c r="N91" s="158"/>
      <c r="O91" s="158"/>
      <c r="P91" s="158"/>
      <c r="Q91" s="148"/>
      <c r="R91" s="149"/>
      <c r="S91" s="154"/>
    </row>
    <row r="92" spans="1:19" ht="13.5" customHeight="1" thickBot="1" x14ac:dyDescent="0.3">
      <c r="A92" s="10"/>
      <c r="B92" s="159" t="s">
        <v>228</v>
      </c>
      <c r="C92" s="160"/>
      <c r="D92" s="160"/>
      <c r="E92" s="160"/>
      <c r="F92" s="160"/>
      <c r="G92" s="150"/>
      <c r="H92" s="151"/>
      <c r="I92" s="11" t="s">
        <v>229</v>
      </c>
      <c r="J92" s="36"/>
      <c r="K92" s="10"/>
      <c r="L92" s="159" t="s">
        <v>228</v>
      </c>
      <c r="M92" s="160"/>
      <c r="N92" s="160"/>
      <c r="O92" s="160"/>
      <c r="P92" s="160"/>
      <c r="Q92" s="150"/>
      <c r="R92" s="151"/>
      <c r="S92" s="11" t="s">
        <v>229</v>
      </c>
    </row>
    <row r="93" spans="1:19" ht="13.5" customHeight="1" x14ac:dyDescent="0.25">
      <c r="A93" s="12"/>
      <c r="B93" s="125" t="s">
        <v>230</v>
      </c>
      <c r="C93" s="126"/>
      <c r="D93" s="126"/>
      <c r="E93" s="126"/>
      <c r="F93" s="126"/>
      <c r="G93" s="86">
        <f>0.048*12*F79</f>
        <v>3544.5888000000004</v>
      </c>
      <c r="H93" s="87"/>
      <c r="I93" s="129" t="s">
        <v>220</v>
      </c>
      <c r="J93" s="36"/>
      <c r="K93" s="12"/>
      <c r="L93" s="125" t="s">
        <v>230</v>
      </c>
      <c r="M93" s="126"/>
      <c r="N93" s="126"/>
      <c r="O93" s="126"/>
      <c r="P93" s="126"/>
      <c r="Q93" s="86">
        <f>0.048*12*P79</f>
        <v>4021.2864000000004</v>
      </c>
      <c r="R93" s="87"/>
      <c r="S93" s="129" t="s">
        <v>220</v>
      </c>
    </row>
    <row r="94" spans="1:19" ht="13.5" customHeight="1" thickBot="1" x14ac:dyDescent="0.3">
      <c r="A94" s="7"/>
      <c r="B94" s="131" t="s">
        <v>231</v>
      </c>
      <c r="C94" s="132"/>
      <c r="D94" s="132"/>
      <c r="E94" s="132"/>
      <c r="F94" s="132"/>
      <c r="G94" s="127"/>
      <c r="H94" s="128"/>
      <c r="I94" s="130"/>
      <c r="J94" s="36"/>
      <c r="K94" s="7"/>
      <c r="L94" s="131" t="s">
        <v>231</v>
      </c>
      <c r="M94" s="132"/>
      <c r="N94" s="132"/>
      <c r="O94" s="132"/>
      <c r="P94" s="132"/>
      <c r="Q94" s="127"/>
      <c r="R94" s="128"/>
      <c r="S94" s="130"/>
    </row>
    <row r="95" spans="1:19" ht="13.5" customHeight="1" thickBot="1" x14ac:dyDescent="0.3">
      <c r="A95" s="13"/>
      <c r="B95" s="133" t="s">
        <v>232</v>
      </c>
      <c r="C95" s="134"/>
      <c r="D95" s="134"/>
      <c r="E95" s="134"/>
      <c r="F95" s="134"/>
      <c r="G95" s="135"/>
      <c r="H95" s="136"/>
      <c r="I95" s="14"/>
      <c r="J95" s="40"/>
      <c r="K95" s="13"/>
      <c r="L95" s="133" t="s">
        <v>232</v>
      </c>
      <c r="M95" s="134"/>
      <c r="N95" s="134"/>
      <c r="O95" s="134"/>
      <c r="P95" s="134"/>
      <c r="Q95" s="135"/>
      <c r="R95" s="136"/>
      <c r="S95" s="14"/>
    </row>
    <row r="96" spans="1:19" ht="45" customHeight="1" thickBot="1" x14ac:dyDescent="0.3">
      <c r="A96" s="13"/>
      <c r="B96" s="84" t="s">
        <v>233</v>
      </c>
      <c r="C96" s="85"/>
      <c r="D96" s="85"/>
      <c r="E96" s="85"/>
      <c r="F96" s="85"/>
      <c r="G96" s="86">
        <f>1.68*12*F79</f>
        <v>124060.60800000001</v>
      </c>
      <c r="H96" s="87"/>
      <c r="I96" s="92" t="s">
        <v>508</v>
      </c>
      <c r="J96" s="41"/>
      <c r="K96" s="13"/>
      <c r="L96" s="84" t="s">
        <v>233</v>
      </c>
      <c r="M96" s="85"/>
      <c r="N96" s="85"/>
      <c r="O96" s="85"/>
      <c r="P96" s="85"/>
      <c r="Q96" s="86">
        <f>1.77*12*P79</f>
        <v>148284.93600000002</v>
      </c>
      <c r="R96" s="87"/>
      <c r="S96" s="317" t="s">
        <v>509</v>
      </c>
    </row>
    <row r="97" spans="1:19" ht="60" customHeight="1" x14ac:dyDescent="0.25">
      <c r="A97" s="118"/>
      <c r="B97" s="121" t="s">
        <v>226</v>
      </c>
      <c r="C97" s="122"/>
      <c r="D97" s="122"/>
      <c r="E97" s="122"/>
      <c r="F97" s="122"/>
      <c r="G97" s="88"/>
      <c r="H97" s="89"/>
      <c r="I97" s="93"/>
      <c r="J97" s="41"/>
      <c r="K97" s="118"/>
      <c r="L97" s="121" t="s">
        <v>226</v>
      </c>
      <c r="M97" s="122"/>
      <c r="N97" s="122"/>
      <c r="O97" s="122"/>
      <c r="P97" s="122"/>
      <c r="Q97" s="88"/>
      <c r="R97" s="89"/>
      <c r="S97" s="318"/>
    </row>
    <row r="98" spans="1:19" ht="60" customHeight="1" x14ac:dyDescent="0.25">
      <c r="A98" s="119"/>
      <c r="B98" s="121" t="s">
        <v>227</v>
      </c>
      <c r="C98" s="122"/>
      <c r="D98" s="122"/>
      <c r="E98" s="122"/>
      <c r="F98" s="122"/>
      <c r="G98" s="88"/>
      <c r="H98" s="89"/>
      <c r="I98" s="93"/>
      <c r="J98" s="41"/>
      <c r="K98" s="119"/>
      <c r="L98" s="121" t="s">
        <v>227</v>
      </c>
      <c r="M98" s="122"/>
      <c r="N98" s="122"/>
      <c r="O98" s="122"/>
      <c r="P98" s="122"/>
      <c r="Q98" s="88"/>
      <c r="R98" s="89"/>
      <c r="S98" s="318"/>
    </row>
    <row r="99" spans="1:19" ht="45.75" customHeight="1" x14ac:dyDescent="0.25">
      <c r="A99" s="119"/>
      <c r="B99" s="121" t="s">
        <v>228</v>
      </c>
      <c r="C99" s="122"/>
      <c r="D99" s="122"/>
      <c r="E99" s="122"/>
      <c r="F99" s="122"/>
      <c r="G99" s="88"/>
      <c r="H99" s="89"/>
      <c r="I99" s="93"/>
      <c r="J99" s="42"/>
      <c r="K99" s="119"/>
      <c r="L99" s="121" t="s">
        <v>228</v>
      </c>
      <c r="M99" s="122"/>
      <c r="N99" s="122"/>
      <c r="O99" s="122"/>
      <c r="P99" s="122"/>
      <c r="Q99" s="88"/>
      <c r="R99" s="89"/>
      <c r="S99" s="318"/>
    </row>
    <row r="100" spans="1:19" ht="63.75" customHeight="1" thickBot="1" x14ac:dyDescent="0.3">
      <c r="A100" s="120"/>
      <c r="B100" s="123" t="s">
        <v>234</v>
      </c>
      <c r="C100" s="124"/>
      <c r="D100" s="124"/>
      <c r="E100" s="124"/>
      <c r="F100" s="124"/>
      <c r="G100" s="90"/>
      <c r="H100" s="91"/>
      <c r="I100" s="94"/>
      <c r="J100" s="43"/>
      <c r="K100" s="120"/>
      <c r="L100" s="123" t="s">
        <v>234</v>
      </c>
      <c r="M100" s="124"/>
      <c r="N100" s="124"/>
      <c r="O100" s="124"/>
      <c r="P100" s="124"/>
      <c r="Q100" s="90"/>
      <c r="R100" s="91"/>
      <c r="S100" s="319"/>
    </row>
    <row r="101" spans="1:19" ht="12" customHeight="1" thickBot="1" x14ac:dyDescent="0.3">
      <c r="A101" s="15"/>
      <c r="B101" s="137"/>
      <c r="C101" s="138"/>
      <c r="D101" s="138"/>
      <c r="E101" s="138"/>
      <c r="F101" s="138"/>
      <c r="G101" s="139"/>
      <c r="H101" s="140"/>
      <c r="I101" s="16"/>
      <c r="J101" s="44"/>
      <c r="K101" s="15"/>
      <c r="L101" s="137"/>
      <c r="M101" s="138"/>
      <c r="N101" s="138"/>
      <c r="O101" s="138"/>
      <c r="P101" s="138"/>
      <c r="Q101" s="139"/>
      <c r="R101" s="140"/>
      <c r="S101" s="16"/>
    </row>
    <row r="102" spans="1:19" ht="27" hidden="1" customHeight="1" x14ac:dyDescent="0.25">
      <c r="A102" s="15"/>
      <c r="B102" s="137" t="s">
        <v>235</v>
      </c>
      <c r="C102" s="138"/>
      <c r="D102" s="138"/>
      <c r="E102" s="138"/>
      <c r="F102" s="138"/>
      <c r="G102" s="139"/>
      <c r="H102" s="140"/>
      <c r="I102" s="16"/>
      <c r="J102" s="40"/>
      <c r="K102" s="15"/>
      <c r="L102" s="137" t="s">
        <v>235</v>
      </c>
      <c r="M102" s="138"/>
      <c r="N102" s="138"/>
      <c r="O102" s="138"/>
      <c r="P102" s="138"/>
      <c r="Q102" s="139"/>
      <c r="R102" s="140"/>
      <c r="S102" s="16"/>
    </row>
    <row r="103" spans="1:19" ht="30" customHeight="1" thickBot="1" x14ac:dyDescent="0.3">
      <c r="A103" s="17"/>
      <c r="B103" s="78" t="s">
        <v>237</v>
      </c>
      <c r="C103" s="79"/>
      <c r="D103" s="79"/>
      <c r="E103" s="79"/>
      <c r="F103" s="79"/>
      <c r="G103" s="86">
        <f>16995+7359</f>
        <v>24354</v>
      </c>
      <c r="H103" s="87"/>
      <c r="I103" s="108" t="s">
        <v>229</v>
      </c>
      <c r="J103" s="27"/>
      <c r="K103" s="17"/>
      <c r="L103" s="78" t="s">
        <v>237</v>
      </c>
      <c r="M103" s="79"/>
      <c r="N103" s="79"/>
      <c r="O103" s="79"/>
      <c r="P103" s="79"/>
      <c r="Q103" s="86">
        <f>26772+27028</f>
        <v>53800</v>
      </c>
      <c r="R103" s="87"/>
      <c r="S103" s="108" t="s">
        <v>229</v>
      </c>
    </row>
    <row r="104" spans="1:19" ht="15" customHeight="1" thickBot="1" x14ac:dyDescent="0.3">
      <c r="A104" s="18"/>
      <c r="B104" s="110" t="s">
        <v>238</v>
      </c>
      <c r="C104" s="111"/>
      <c r="D104" s="111"/>
      <c r="E104" s="111"/>
      <c r="F104" s="111"/>
      <c r="G104" s="90"/>
      <c r="H104" s="91"/>
      <c r="I104" s="109"/>
      <c r="J104" s="45"/>
      <c r="K104" s="18"/>
      <c r="L104" s="110" t="s">
        <v>238</v>
      </c>
      <c r="M104" s="111"/>
      <c r="N104" s="111"/>
      <c r="O104" s="111"/>
      <c r="P104" s="111"/>
      <c r="Q104" s="90"/>
      <c r="R104" s="91"/>
      <c r="S104" s="109"/>
    </row>
    <row r="105" spans="1:19" ht="15" customHeight="1" thickBot="1" x14ac:dyDescent="0.3">
      <c r="A105" s="19"/>
      <c r="B105" s="112" t="s">
        <v>239</v>
      </c>
      <c r="C105" s="113"/>
      <c r="D105" s="113"/>
      <c r="E105" s="113"/>
      <c r="F105" s="113"/>
      <c r="G105" s="114">
        <f>SUM(G84:H104)</f>
        <v>503949.47519999999</v>
      </c>
      <c r="H105" s="115"/>
      <c r="I105" s="20"/>
      <c r="J105" s="46"/>
      <c r="K105" s="19"/>
      <c r="L105" s="112" t="s">
        <v>239</v>
      </c>
      <c r="M105" s="113"/>
      <c r="N105" s="113"/>
      <c r="O105" s="113"/>
      <c r="P105" s="113"/>
      <c r="Q105" s="114">
        <f>SUM(Q84:R104)</f>
        <v>620930.4976</v>
      </c>
      <c r="R105" s="115"/>
      <c r="S105" s="20"/>
    </row>
    <row r="106" spans="1:19" ht="21" customHeight="1" thickBot="1" x14ac:dyDescent="0.3">
      <c r="A106" s="21"/>
      <c r="B106" s="101" t="s">
        <v>240</v>
      </c>
      <c r="C106" s="102"/>
      <c r="D106" s="102"/>
      <c r="E106" s="102"/>
      <c r="F106" s="102"/>
      <c r="G106" s="116">
        <f>G105*1.2</f>
        <v>604739.37023999996</v>
      </c>
      <c r="H106" s="117"/>
      <c r="I106" s="22"/>
      <c r="J106" s="47"/>
      <c r="K106" s="21"/>
      <c r="L106" s="101" t="s">
        <v>240</v>
      </c>
      <c r="M106" s="102"/>
      <c r="N106" s="102"/>
      <c r="O106" s="102"/>
      <c r="P106" s="102"/>
      <c r="Q106" s="116">
        <f>Q105*1.2</f>
        <v>745116.59711999993</v>
      </c>
      <c r="R106" s="117"/>
      <c r="S106" s="22"/>
    </row>
    <row r="107" spans="1:19" ht="21" customHeight="1" thickBot="1" x14ac:dyDescent="0.3">
      <c r="A107" s="24"/>
      <c r="B107" s="96" t="s">
        <v>443</v>
      </c>
      <c r="C107" s="97"/>
      <c r="D107" s="97"/>
      <c r="E107" s="97"/>
      <c r="F107" s="97"/>
      <c r="G107" s="295">
        <v>610356.38</v>
      </c>
      <c r="H107" s="296"/>
      <c r="I107" s="297"/>
      <c r="J107" s="47"/>
      <c r="K107" s="24"/>
      <c r="L107" s="96" t="s">
        <v>443</v>
      </c>
      <c r="M107" s="97"/>
      <c r="N107" s="97"/>
      <c r="O107" s="97"/>
      <c r="P107" s="97"/>
      <c r="Q107" s="295">
        <v>729252.8</v>
      </c>
      <c r="R107" s="296"/>
      <c r="S107" s="297"/>
    </row>
    <row r="108" spans="1:19" ht="21" customHeight="1" thickBot="1" x14ac:dyDescent="0.3">
      <c r="A108" s="19"/>
      <c r="B108" s="101" t="s">
        <v>242</v>
      </c>
      <c r="C108" s="102"/>
      <c r="D108" s="102"/>
      <c r="E108" s="102"/>
      <c r="F108" s="102"/>
      <c r="G108" s="116">
        <v>579704.80000000005</v>
      </c>
      <c r="H108" s="298"/>
      <c r="I108" s="214"/>
      <c r="J108" s="47"/>
      <c r="K108" s="19"/>
      <c r="L108" s="101" t="s">
        <v>242</v>
      </c>
      <c r="M108" s="102"/>
      <c r="N108" s="102"/>
      <c r="O108" s="102"/>
      <c r="P108" s="102"/>
      <c r="Q108" s="116">
        <v>767259.95</v>
      </c>
      <c r="R108" s="298"/>
      <c r="S108" s="214"/>
    </row>
    <row r="109" spans="1:19" ht="21" customHeight="1" thickBot="1" x14ac:dyDescent="0.3">
      <c r="A109" s="19"/>
      <c r="B109" s="106" t="s">
        <v>444</v>
      </c>
      <c r="C109" s="107"/>
      <c r="D109" s="107"/>
      <c r="E109" s="107"/>
      <c r="F109" s="107"/>
      <c r="G109" s="116">
        <v>219210.02</v>
      </c>
      <c r="H109" s="298"/>
      <c r="I109" s="214"/>
      <c r="J109" s="47"/>
      <c r="K109" s="19"/>
      <c r="L109" s="106" t="s">
        <v>444</v>
      </c>
      <c r="M109" s="107"/>
      <c r="N109" s="107"/>
      <c r="O109" s="107"/>
      <c r="P109" s="107"/>
      <c r="Q109" s="116">
        <v>254512</v>
      </c>
      <c r="R109" s="298"/>
      <c r="S109" s="214"/>
    </row>
    <row r="110" spans="1:19" ht="42" customHeight="1" x14ac:dyDescent="0.25">
      <c r="A110" s="3"/>
      <c r="B110" s="323"/>
      <c r="C110" s="327"/>
      <c r="D110" s="327"/>
      <c r="E110" s="327"/>
      <c r="F110" s="327"/>
      <c r="G110" s="327"/>
      <c r="H110" s="327"/>
      <c r="I110" s="327"/>
      <c r="K110" s="3"/>
      <c r="S110" s="5"/>
    </row>
    <row r="111" spans="1:19" ht="15.75" x14ac:dyDescent="0.25">
      <c r="B111" s="30"/>
      <c r="K111" s="30"/>
      <c r="L111" s="30"/>
    </row>
    <row r="112" spans="1:19" ht="15.75" x14ac:dyDescent="0.25">
      <c r="B112" s="30"/>
      <c r="K112" s="30"/>
      <c r="L112" s="30"/>
    </row>
    <row r="113" spans="1:19" x14ac:dyDescent="0.25">
      <c r="A113" s="3"/>
      <c r="B113" s="3"/>
      <c r="C113" s="3"/>
      <c r="D113" s="3"/>
      <c r="E113" s="4" t="s">
        <v>204</v>
      </c>
      <c r="F113" s="3"/>
      <c r="G113" s="3"/>
      <c r="H113" s="3"/>
      <c r="I113" s="3"/>
      <c r="K113" s="3"/>
      <c r="L113" s="3"/>
      <c r="M113" s="3"/>
      <c r="N113" s="3"/>
      <c r="O113" s="4" t="s">
        <v>204</v>
      </c>
      <c r="P113" s="3"/>
      <c r="Q113" s="3"/>
      <c r="R113" s="3"/>
      <c r="S113" s="3"/>
    </row>
    <row r="114" spans="1:19" x14ac:dyDescent="0.25">
      <c r="A114" s="3" t="s">
        <v>205</v>
      </c>
      <c r="B114" s="3"/>
      <c r="C114" s="3"/>
      <c r="D114" s="3" t="s">
        <v>293</v>
      </c>
      <c r="E114" s="3"/>
      <c r="F114" s="3"/>
      <c r="G114" s="3"/>
      <c r="H114" s="3"/>
      <c r="I114" s="3"/>
      <c r="K114" s="3" t="s">
        <v>205</v>
      </c>
      <c r="L114" s="3"/>
      <c r="M114" s="3"/>
      <c r="N114" s="3" t="s">
        <v>294</v>
      </c>
      <c r="O114" s="3"/>
      <c r="P114" s="3"/>
      <c r="Q114" s="3"/>
      <c r="R114" s="3"/>
      <c r="S114" s="3"/>
    </row>
    <row r="115" spans="1:19" x14ac:dyDescent="0.25">
      <c r="A115" s="3"/>
      <c r="B115" s="5" t="s">
        <v>440</v>
      </c>
      <c r="C115" s="3"/>
      <c r="D115" s="3"/>
      <c r="E115" s="3"/>
      <c r="F115" s="3"/>
      <c r="G115" s="3"/>
      <c r="H115" s="3"/>
      <c r="I115" s="3"/>
      <c r="K115" s="3"/>
      <c r="L115" s="5" t="s">
        <v>440</v>
      </c>
      <c r="M115" s="3"/>
      <c r="N115" s="3"/>
      <c r="O115" s="3"/>
      <c r="P115" s="3"/>
      <c r="Q115" s="3"/>
      <c r="R115" s="3"/>
      <c r="S115" s="3"/>
    </row>
    <row r="116" spans="1:19" ht="15.75" thickBot="1" x14ac:dyDescent="0.3">
      <c r="A116" s="3"/>
      <c r="B116" s="5" t="s">
        <v>206</v>
      </c>
      <c r="C116" s="3"/>
      <c r="D116" s="3"/>
      <c r="E116" s="3"/>
      <c r="F116" s="3">
        <v>5970.3</v>
      </c>
      <c r="G116" s="3" t="s">
        <v>207</v>
      </c>
      <c r="H116" s="65"/>
      <c r="I116" s="3"/>
      <c r="J116" s="3"/>
      <c r="K116" s="3"/>
      <c r="L116" s="5" t="s">
        <v>206</v>
      </c>
      <c r="M116" s="3"/>
      <c r="N116" s="3"/>
      <c r="O116" s="3"/>
      <c r="P116" s="3">
        <v>6767.4</v>
      </c>
      <c r="Q116" s="3" t="s">
        <v>207</v>
      </c>
      <c r="R116" s="3"/>
      <c r="S116" s="3"/>
    </row>
    <row r="117" spans="1:19" ht="15.75" customHeight="1" thickBot="1" x14ac:dyDescent="0.3">
      <c r="A117" s="175" t="s">
        <v>209</v>
      </c>
      <c r="B117" s="177" t="s">
        <v>210</v>
      </c>
      <c r="C117" s="178"/>
      <c r="D117" s="178"/>
      <c r="E117" s="178"/>
      <c r="F117" s="178"/>
      <c r="G117" s="180" t="s">
        <v>442</v>
      </c>
      <c r="H117" s="181"/>
      <c r="I117" s="175" t="s">
        <v>212</v>
      </c>
      <c r="J117" s="3"/>
      <c r="K117" s="175" t="s">
        <v>209</v>
      </c>
      <c r="L117" s="177" t="s">
        <v>210</v>
      </c>
      <c r="M117" s="178"/>
      <c r="N117" s="178"/>
      <c r="O117" s="178"/>
      <c r="P117" s="178"/>
      <c r="Q117" s="180" t="s">
        <v>442</v>
      </c>
      <c r="R117" s="181"/>
      <c r="S117" s="175" t="s">
        <v>212</v>
      </c>
    </row>
    <row r="118" spans="1:19" ht="68.25" customHeight="1" thickBot="1" x14ac:dyDescent="0.3">
      <c r="A118" s="176"/>
      <c r="B118" s="179"/>
      <c r="C118" s="179"/>
      <c r="D118" s="179"/>
      <c r="E118" s="179"/>
      <c r="F118" s="179"/>
      <c r="G118" s="182"/>
      <c r="H118" s="183"/>
      <c r="I118" s="184"/>
      <c r="J118" s="31"/>
      <c r="K118" s="176"/>
      <c r="L118" s="179"/>
      <c r="M118" s="179"/>
      <c r="N118" s="179"/>
      <c r="O118" s="179"/>
      <c r="P118" s="179"/>
      <c r="Q118" s="182"/>
      <c r="R118" s="183"/>
      <c r="S118" s="184"/>
    </row>
    <row r="119" spans="1:19" ht="21.75" customHeight="1" thickBot="1" x14ac:dyDescent="0.3">
      <c r="A119" s="185" t="s">
        <v>213</v>
      </c>
      <c r="B119" s="187" t="s">
        <v>354</v>
      </c>
      <c r="C119" s="188"/>
      <c r="D119" s="188"/>
      <c r="E119" s="188"/>
      <c r="F119" s="188"/>
      <c r="G119" s="190">
        <v>105510.07</v>
      </c>
      <c r="H119" s="191"/>
      <c r="I119" s="192"/>
      <c r="J119" s="32"/>
      <c r="K119" s="185" t="s">
        <v>213</v>
      </c>
      <c r="L119" s="187" t="s">
        <v>354</v>
      </c>
      <c r="M119" s="188"/>
      <c r="N119" s="188"/>
      <c r="O119" s="188"/>
      <c r="P119" s="188"/>
      <c r="Q119" s="190">
        <v>312405.05</v>
      </c>
      <c r="R119" s="191"/>
      <c r="S119" s="192"/>
    </row>
    <row r="120" spans="1:19" ht="15.75" hidden="1" customHeight="1" x14ac:dyDescent="0.25">
      <c r="A120" s="186"/>
      <c r="B120" s="189"/>
      <c r="C120" s="189"/>
      <c r="D120" s="189"/>
      <c r="E120" s="189"/>
      <c r="F120" s="189"/>
      <c r="G120" s="193"/>
      <c r="H120" s="194"/>
      <c r="I120" s="128"/>
      <c r="J120" s="33"/>
      <c r="K120" s="186"/>
      <c r="L120" s="189"/>
      <c r="M120" s="189"/>
      <c r="N120" s="189"/>
      <c r="O120" s="189"/>
      <c r="P120" s="189"/>
      <c r="Q120" s="193"/>
      <c r="R120" s="194"/>
      <c r="S120" s="128"/>
    </row>
    <row r="121" spans="1:19" ht="16.5" customHeight="1" x14ac:dyDescent="0.25">
      <c r="A121" s="6"/>
      <c r="B121" s="161" t="s">
        <v>214</v>
      </c>
      <c r="C121" s="162"/>
      <c r="D121" s="162"/>
      <c r="E121" s="162"/>
      <c r="F121" s="162"/>
      <c r="G121" s="163">
        <f>1.51*12*F116</f>
        <v>108181.83600000001</v>
      </c>
      <c r="H121" s="164"/>
      <c r="I121" s="169" t="s">
        <v>215</v>
      </c>
      <c r="J121" s="36"/>
      <c r="K121" s="6"/>
      <c r="L121" s="161" t="s">
        <v>214</v>
      </c>
      <c r="M121" s="162"/>
      <c r="N121" s="162"/>
      <c r="O121" s="162"/>
      <c r="P121" s="162"/>
      <c r="Q121" s="163">
        <f>1.84*12*P116</f>
        <v>149424.19200000001</v>
      </c>
      <c r="R121" s="164"/>
      <c r="S121" s="169" t="s">
        <v>215</v>
      </c>
    </row>
    <row r="122" spans="1:19" ht="37.5" customHeight="1" thickBot="1" x14ac:dyDescent="0.3">
      <c r="A122" s="7"/>
      <c r="B122" s="171" t="s">
        <v>216</v>
      </c>
      <c r="C122" s="172"/>
      <c r="D122" s="172"/>
      <c r="E122" s="172"/>
      <c r="F122" s="172"/>
      <c r="G122" s="165"/>
      <c r="H122" s="166"/>
      <c r="I122" s="170"/>
      <c r="J122" s="35"/>
      <c r="K122" s="7"/>
      <c r="L122" s="171" t="s">
        <v>216</v>
      </c>
      <c r="M122" s="172"/>
      <c r="N122" s="172"/>
      <c r="O122" s="172"/>
      <c r="P122" s="172"/>
      <c r="Q122" s="165"/>
      <c r="R122" s="166"/>
      <c r="S122" s="170"/>
    </row>
    <row r="123" spans="1:19" ht="13.5" customHeight="1" thickBot="1" x14ac:dyDescent="0.3">
      <c r="A123" s="7"/>
      <c r="B123" s="173" t="s">
        <v>217</v>
      </c>
      <c r="C123" s="174"/>
      <c r="D123" s="174"/>
      <c r="E123" s="174"/>
      <c r="F123" s="174"/>
      <c r="G123" s="167"/>
      <c r="H123" s="168"/>
      <c r="I123" s="8" t="s">
        <v>218</v>
      </c>
      <c r="J123" s="36"/>
      <c r="K123" s="7"/>
      <c r="L123" s="173" t="s">
        <v>217</v>
      </c>
      <c r="M123" s="174"/>
      <c r="N123" s="174"/>
      <c r="O123" s="174"/>
      <c r="P123" s="174"/>
      <c r="Q123" s="167"/>
      <c r="R123" s="168"/>
      <c r="S123" s="8" t="s">
        <v>218</v>
      </c>
    </row>
    <row r="124" spans="1:19" ht="18.75" customHeight="1" thickBot="1" x14ac:dyDescent="0.3">
      <c r="A124" s="7"/>
      <c r="B124" s="141" t="s">
        <v>219</v>
      </c>
      <c r="C124" s="142"/>
      <c r="D124" s="142"/>
      <c r="E124" s="142"/>
      <c r="F124" s="142"/>
      <c r="G124" s="143">
        <f>1748.85*3*12</f>
        <v>62958.599999999991</v>
      </c>
      <c r="H124" s="144"/>
      <c r="I124" s="8" t="s">
        <v>220</v>
      </c>
      <c r="J124" s="36"/>
      <c r="K124" s="7"/>
      <c r="L124" s="141" t="s">
        <v>219</v>
      </c>
      <c r="M124" s="142"/>
      <c r="N124" s="142"/>
      <c r="O124" s="142"/>
      <c r="P124" s="142"/>
      <c r="Q124" s="143">
        <f>2600*2*12</f>
        <v>62400</v>
      </c>
      <c r="R124" s="144"/>
      <c r="S124" s="8" t="s">
        <v>220</v>
      </c>
    </row>
    <row r="125" spans="1:19" ht="18.75" customHeight="1" thickBot="1" x14ac:dyDescent="0.3">
      <c r="A125" s="7"/>
      <c r="B125" s="141" t="s">
        <v>221</v>
      </c>
      <c r="C125" s="142"/>
      <c r="D125" s="142"/>
      <c r="E125" s="142"/>
      <c r="F125" s="142"/>
      <c r="G125" s="143">
        <f>0.474*12*F116</f>
        <v>33959.066399999996</v>
      </c>
      <c r="H125" s="144"/>
      <c r="I125" s="8" t="s">
        <v>222</v>
      </c>
      <c r="J125" s="37"/>
      <c r="K125" s="7"/>
      <c r="L125" s="141" t="s">
        <v>221</v>
      </c>
      <c r="M125" s="142"/>
      <c r="N125" s="142"/>
      <c r="O125" s="142"/>
      <c r="P125" s="142"/>
      <c r="Q125" s="143">
        <f>0.474*12*P116</f>
        <v>38492.971199999993</v>
      </c>
      <c r="R125" s="144"/>
      <c r="S125" s="8" t="s">
        <v>222</v>
      </c>
    </row>
    <row r="126" spans="1:19" ht="13.5" customHeight="1" x14ac:dyDescent="0.25">
      <c r="A126" s="9"/>
      <c r="B126" s="145" t="s">
        <v>223</v>
      </c>
      <c r="C126" s="146"/>
      <c r="D126" s="146"/>
      <c r="E126" s="146"/>
      <c r="F126" s="146"/>
      <c r="G126" s="86">
        <f>1.99*12*F116</f>
        <v>142570.764</v>
      </c>
      <c r="H126" s="147"/>
      <c r="I126" s="152" t="s">
        <v>224</v>
      </c>
      <c r="J126" s="38"/>
      <c r="K126" s="9"/>
      <c r="L126" s="145" t="s">
        <v>223</v>
      </c>
      <c r="M126" s="146"/>
      <c r="N126" s="146"/>
      <c r="O126" s="146"/>
      <c r="P126" s="146"/>
      <c r="Q126" s="86">
        <f>2.17*12*P116</f>
        <v>176223.09599999999</v>
      </c>
      <c r="R126" s="147"/>
      <c r="S126" s="152" t="s">
        <v>224</v>
      </c>
    </row>
    <row r="127" spans="1:19" ht="13.5" customHeight="1" x14ac:dyDescent="0.25">
      <c r="A127" s="10"/>
      <c r="B127" s="155" t="s">
        <v>226</v>
      </c>
      <c r="C127" s="156"/>
      <c r="D127" s="156"/>
      <c r="E127" s="156"/>
      <c r="F127" s="156"/>
      <c r="G127" s="148"/>
      <c r="H127" s="149"/>
      <c r="I127" s="153"/>
      <c r="J127" s="38"/>
      <c r="K127" s="10"/>
      <c r="L127" s="155" t="s">
        <v>226</v>
      </c>
      <c r="M127" s="156"/>
      <c r="N127" s="156"/>
      <c r="O127" s="156"/>
      <c r="P127" s="156"/>
      <c r="Q127" s="148"/>
      <c r="R127" s="149"/>
      <c r="S127" s="153"/>
    </row>
    <row r="128" spans="1:19" ht="13.5" customHeight="1" thickBot="1" x14ac:dyDescent="0.3">
      <c r="A128" s="10"/>
      <c r="B128" s="157" t="s">
        <v>227</v>
      </c>
      <c r="C128" s="158"/>
      <c r="D128" s="158"/>
      <c r="E128" s="158"/>
      <c r="F128" s="158"/>
      <c r="G128" s="148"/>
      <c r="H128" s="149"/>
      <c r="I128" s="154"/>
      <c r="J128" s="39"/>
      <c r="K128" s="10"/>
      <c r="L128" s="157" t="s">
        <v>227</v>
      </c>
      <c r="M128" s="158"/>
      <c r="N128" s="158"/>
      <c r="O128" s="158"/>
      <c r="P128" s="158"/>
      <c r="Q128" s="148"/>
      <c r="R128" s="149"/>
      <c r="S128" s="154"/>
    </row>
    <row r="129" spans="1:19" ht="13.5" customHeight="1" thickBot="1" x14ac:dyDescent="0.3">
      <c r="A129" s="10"/>
      <c r="B129" s="159" t="s">
        <v>228</v>
      </c>
      <c r="C129" s="160"/>
      <c r="D129" s="160"/>
      <c r="E129" s="160"/>
      <c r="F129" s="160"/>
      <c r="G129" s="150"/>
      <c r="H129" s="151"/>
      <c r="I129" s="11" t="s">
        <v>229</v>
      </c>
      <c r="J129" s="36"/>
      <c r="K129" s="10"/>
      <c r="L129" s="159" t="s">
        <v>228</v>
      </c>
      <c r="M129" s="160"/>
      <c r="N129" s="160"/>
      <c r="O129" s="160"/>
      <c r="P129" s="160"/>
      <c r="Q129" s="150"/>
      <c r="R129" s="151"/>
      <c r="S129" s="11" t="s">
        <v>229</v>
      </c>
    </row>
    <row r="130" spans="1:19" ht="13.5" customHeight="1" x14ac:dyDescent="0.25">
      <c r="A130" s="12"/>
      <c r="B130" s="125" t="s">
        <v>230</v>
      </c>
      <c r="C130" s="126"/>
      <c r="D130" s="126"/>
      <c r="E130" s="126"/>
      <c r="F130" s="126"/>
      <c r="G130" s="86">
        <f>0.048*12*F116</f>
        <v>3438.8928000000005</v>
      </c>
      <c r="H130" s="87"/>
      <c r="I130" s="129" t="s">
        <v>220</v>
      </c>
      <c r="J130" s="36"/>
      <c r="K130" s="12"/>
      <c r="L130" s="125" t="s">
        <v>230</v>
      </c>
      <c r="M130" s="126"/>
      <c r="N130" s="126"/>
      <c r="O130" s="126"/>
      <c r="P130" s="126"/>
      <c r="Q130" s="86">
        <f>0.048*12*P116</f>
        <v>3898.0224000000003</v>
      </c>
      <c r="R130" s="87"/>
      <c r="S130" s="129" t="s">
        <v>220</v>
      </c>
    </row>
    <row r="131" spans="1:19" ht="13.5" customHeight="1" thickBot="1" x14ac:dyDescent="0.3">
      <c r="A131" s="7"/>
      <c r="B131" s="131" t="s">
        <v>231</v>
      </c>
      <c r="C131" s="132"/>
      <c r="D131" s="132"/>
      <c r="E131" s="132"/>
      <c r="F131" s="132"/>
      <c r="G131" s="127"/>
      <c r="H131" s="128"/>
      <c r="I131" s="130"/>
      <c r="J131" s="36"/>
      <c r="K131" s="7"/>
      <c r="L131" s="131" t="s">
        <v>231</v>
      </c>
      <c r="M131" s="132"/>
      <c r="N131" s="132"/>
      <c r="O131" s="132"/>
      <c r="P131" s="132"/>
      <c r="Q131" s="127"/>
      <c r="R131" s="128"/>
      <c r="S131" s="130"/>
    </row>
    <row r="132" spans="1:19" ht="15.75" customHeight="1" thickBot="1" x14ac:dyDescent="0.3">
      <c r="A132" s="13"/>
      <c r="B132" s="133" t="s">
        <v>232</v>
      </c>
      <c r="C132" s="134"/>
      <c r="D132" s="134"/>
      <c r="E132" s="134"/>
      <c r="F132" s="134"/>
      <c r="G132" s="135"/>
      <c r="H132" s="136"/>
      <c r="I132" s="14"/>
      <c r="J132" s="36"/>
      <c r="K132" s="13"/>
      <c r="L132" s="133" t="s">
        <v>232</v>
      </c>
      <c r="M132" s="134"/>
      <c r="N132" s="134"/>
      <c r="O132" s="134"/>
      <c r="P132" s="134"/>
      <c r="Q132" s="135"/>
      <c r="R132" s="136"/>
      <c r="S132" s="14"/>
    </row>
    <row r="133" spans="1:19" ht="41.25" customHeight="1" thickBot="1" x14ac:dyDescent="0.3">
      <c r="A133" s="13"/>
      <c r="B133" s="84" t="s">
        <v>233</v>
      </c>
      <c r="C133" s="85"/>
      <c r="D133" s="85"/>
      <c r="E133" s="85"/>
      <c r="F133" s="85"/>
      <c r="G133" s="86">
        <f>1.3*12*F116</f>
        <v>93136.680000000008</v>
      </c>
      <c r="H133" s="87"/>
      <c r="I133" s="317" t="s">
        <v>511</v>
      </c>
      <c r="J133" s="41"/>
      <c r="K133" s="13"/>
      <c r="L133" s="84" t="s">
        <v>233</v>
      </c>
      <c r="M133" s="85"/>
      <c r="N133" s="85"/>
      <c r="O133" s="85"/>
      <c r="P133" s="85"/>
      <c r="Q133" s="86">
        <f>1.55*12*P116</f>
        <v>125873.64</v>
      </c>
      <c r="R133" s="87"/>
      <c r="S133" s="317" t="s">
        <v>513</v>
      </c>
    </row>
    <row r="134" spans="1:19" ht="48.75" customHeight="1" x14ac:dyDescent="0.25">
      <c r="A134" s="118"/>
      <c r="B134" s="121" t="s">
        <v>226</v>
      </c>
      <c r="C134" s="122"/>
      <c r="D134" s="122"/>
      <c r="E134" s="122"/>
      <c r="F134" s="122"/>
      <c r="G134" s="88"/>
      <c r="H134" s="89"/>
      <c r="I134" s="318"/>
      <c r="J134" s="41"/>
      <c r="K134" s="118"/>
      <c r="L134" s="121" t="s">
        <v>226</v>
      </c>
      <c r="M134" s="122"/>
      <c r="N134" s="122"/>
      <c r="O134" s="122"/>
      <c r="P134" s="122"/>
      <c r="Q134" s="88"/>
      <c r="R134" s="89"/>
      <c r="S134" s="318"/>
    </row>
    <row r="135" spans="1:19" ht="36" customHeight="1" x14ac:dyDescent="0.25">
      <c r="A135" s="119"/>
      <c r="B135" s="121" t="s">
        <v>227</v>
      </c>
      <c r="C135" s="122"/>
      <c r="D135" s="122"/>
      <c r="E135" s="122"/>
      <c r="F135" s="122"/>
      <c r="G135" s="88"/>
      <c r="H135" s="89"/>
      <c r="I135" s="318"/>
      <c r="J135" s="41"/>
      <c r="K135" s="119"/>
      <c r="L135" s="121" t="s">
        <v>227</v>
      </c>
      <c r="M135" s="122"/>
      <c r="N135" s="122"/>
      <c r="O135" s="122"/>
      <c r="P135" s="122"/>
      <c r="Q135" s="88"/>
      <c r="R135" s="89"/>
      <c r="S135" s="318"/>
    </row>
    <row r="136" spans="1:19" ht="36.75" customHeight="1" x14ac:dyDescent="0.25">
      <c r="A136" s="119"/>
      <c r="B136" s="121" t="s">
        <v>228</v>
      </c>
      <c r="C136" s="122"/>
      <c r="D136" s="122"/>
      <c r="E136" s="122"/>
      <c r="F136" s="122"/>
      <c r="G136" s="88"/>
      <c r="H136" s="89"/>
      <c r="I136" s="318"/>
      <c r="J136" s="42"/>
      <c r="K136" s="119"/>
      <c r="L136" s="121" t="s">
        <v>228</v>
      </c>
      <c r="M136" s="122"/>
      <c r="N136" s="122"/>
      <c r="O136" s="122"/>
      <c r="P136" s="122"/>
      <c r="Q136" s="88"/>
      <c r="R136" s="89"/>
      <c r="S136" s="318"/>
    </row>
    <row r="137" spans="1:19" ht="89.25" customHeight="1" thickBot="1" x14ac:dyDescent="0.3">
      <c r="A137" s="120"/>
      <c r="B137" s="123" t="s">
        <v>234</v>
      </c>
      <c r="C137" s="124"/>
      <c r="D137" s="124"/>
      <c r="E137" s="124"/>
      <c r="F137" s="124"/>
      <c r="G137" s="90"/>
      <c r="H137" s="91"/>
      <c r="I137" s="319"/>
      <c r="J137" s="43"/>
      <c r="K137" s="120"/>
      <c r="L137" s="123" t="s">
        <v>234</v>
      </c>
      <c r="M137" s="124"/>
      <c r="N137" s="124"/>
      <c r="O137" s="124"/>
      <c r="P137" s="124"/>
      <c r="Q137" s="90"/>
      <c r="R137" s="91"/>
      <c r="S137" s="319"/>
    </row>
    <row r="138" spans="1:19" ht="12" customHeight="1" thickBot="1" x14ac:dyDescent="0.3">
      <c r="A138" s="15"/>
      <c r="B138" s="137"/>
      <c r="C138" s="138"/>
      <c r="D138" s="138"/>
      <c r="E138" s="138"/>
      <c r="F138" s="138"/>
      <c r="G138" s="139"/>
      <c r="H138" s="140"/>
      <c r="I138" s="16"/>
      <c r="J138" s="44"/>
      <c r="K138" s="15"/>
      <c r="L138" s="137"/>
      <c r="M138" s="138"/>
      <c r="N138" s="138"/>
      <c r="O138" s="138"/>
      <c r="P138" s="138"/>
      <c r="Q138" s="139"/>
      <c r="R138" s="140"/>
      <c r="S138" s="16"/>
    </row>
    <row r="139" spans="1:19" ht="26.25" hidden="1" customHeight="1" x14ac:dyDescent="0.25">
      <c r="A139" s="15"/>
      <c r="B139" s="137" t="s">
        <v>235</v>
      </c>
      <c r="C139" s="138"/>
      <c r="D139" s="138"/>
      <c r="E139" s="138"/>
      <c r="F139" s="138"/>
      <c r="G139" s="139"/>
      <c r="H139" s="140"/>
      <c r="I139" s="16"/>
      <c r="J139" s="40"/>
      <c r="K139" s="15"/>
      <c r="L139" s="137" t="s">
        <v>235</v>
      </c>
      <c r="M139" s="138"/>
      <c r="N139" s="138"/>
      <c r="O139" s="138"/>
      <c r="P139" s="138"/>
      <c r="Q139" s="139"/>
      <c r="R139" s="140"/>
      <c r="S139" s="16"/>
    </row>
    <row r="140" spans="1:19" ht="33" customHeight="1" thickBot="1" x14ac:dyDescent="0.3">
      <c r="A140" s="17"/>
      <c r="B140" s="78" t="s">
        <v>237</v>
      </c>
      <c r="C140" s="79"/>
      <c r="D140" s="79"/>
      <c r="E140" s="79"/>
      <c r="F140" s="79"/>
      <c r="G140" s="86">
        <f>33530+6338</f>
        <v>39868</v>
      </c>
      <c r="H140" s="87"/>
      <c r="I140" s="108" t="s">
        <v>229</v>
      </c>
      <c r="J140" s="62"/>
      <c r="K140" s="17"/>
      <c r="L140" s="78" t="s">
        <v>237</v>
      </c>
      <c r="M140" s="79"/>
      <c r="N140" s="79"/>
      <c r="O140" s="79"/>
      <c r="P140" s="79"/>
      <c r="Q140" s="86">
        <f>23963+13876</f>
        <v>37839</v>
      </c>
      <c r="R140" s="87"/>
      <c r="S140" s="108" t="s">
        <v>229</v>
      </c>
    </row>
    <row r="141" spans="1:19" ht="15.75" customHeight="1" thickBot="1" x14ac:dyDescent="0.3">
      <c r="A141" s="18"/>
      <c r="B141" s="110" t="s">
        <v>238</v>
      </c>
      <c r="C141" s="111"/>
      <c r="D141" s="111"/>
      <c r="E141" s="111"/>
      <c r="F141" s="111"/>
      <c r="G141" s="90"/>
      <c r="H141" s="91"/>
      <c r="I141" s="109"/>
      <c r="J141" s="46"/>
      <c r="K141" s="18"/>
      <c r="L141" s="110" t="s">
        <v>238</v>
      </c>
      <c r="M141" s="111"/>
      <c r="N141" s="111"/>
      <c r="O141" s="111"/>
      <c r="P141" s="111"/>
      <c r="Q141" s="90"/>
      <c r="R141" s="91"/>
      <c r="S141" s="109"/>
    </row>
    <row r="142" spans="1:19" ht="15.75" customHeight="1" thickBot="1" x14ac:dyDescent="0.3">
      <c r="A142" s="19"/>
      <c r="B142" s="112" t="s">
        <v>239</v>
      </c>
      <c r="C142" s="113"/>
      <c r="D142" s="113"/>
      <c r="E142" s="113"/>
      <c r="F142" s="113"/>
      <c r="G142" s="114">
        <f>SUM(G121:H141)</f>
        <v>484113.83919999993</v>
      </c>
      <c r="H142" s="115"/>
      <c r="I142" s="20"/>
      <c r="J142" s="47"/>
      <c r="K142" s="19"/>
      <c r="L142" s="112" t="s">
        <v>239</v>
      </c>
      <c r="M142" s="113"/>
      <c r="N142" s="113"/>
      <c r="O142" s="113"/>
      <c r="P142" s="113"/>
      <c r="Q142" s="114">
        <f>SUM(Q121:R141)</f>
        <v>594150.9216</v>
      </c>
      <c r="R142" s="115"/>
      <c r="S142" s="20"/>
    </row>
    <row r="143" spans="1:19" ht="24" customHeight="1" thickBot="1" x14ac:dyDescent="0.3">
      <c r="A143" s="21"/>
      <c r="B143" s="101" t="s">
        <v>240</v>
      </c>
      <c r="C143" s="102"/>
      <c r="D143" s="102"/>
      <c r="E143" s="102"/>
      <c r="F143" s="102"/>
      <c r="G143" s="116">
        <f>G142*1.2</f>
        <v>580936.60703999992</v>
      </c>
      <c r="H143" s="117"/>
      <c r="I143" s="22"/>
      <c r="J143" s="47"/>
      <c r="K143" s="21"/>
      <c r="L143" s="101" t="s">
        <v>240</v>
      </c>
      <c r="M143" s="102"/>
      <c r="N143" s="102"/>
      <c r="O143" s="102"/>
      <c r="P143" s="102"/>
      <c r="Q143" s="116">
        <f>Q142*1.2</f>
        <v>712981.10592</v>
      </c>
      <c r="R143" s="117"/>
      <c r="S143" s="22"/>
    </row>
    <row r="144" spans="1:19" ht="24" customHeight="1" thickBot="1" x14ac:dyDescent="0.3">
      <c r="A144" s="24"/>
      <c r="B144" s="96" t="s">
        <v>443</v>
      </c>
      <c r="C144" s="97"/>
      <c r="D144" s="97"/>
      <c r="E144" s="97"/>
      <c r="F144" s="97"/>
      <c r="G144" s="295">
        <v>563639.49</v>
      </c>
      <c r="H144" s="296"/>
      <c r="I144" s="297"/>
      <c r="J144" s="47"/>
      <c r="K144" s="24"/>
      <c r="L144" s="96" t="s">
        <v>443</v>
      </c>
      <c r="M144" s="97"/>
      <c r="N144" s="97"/>
      <c r="O144" s="97"/>
      <c r="P144" s="97"/>
      <c r="Q144" s="295">
        <v>723248.94</v>
      </c>
      <c r="R144" s="296"/>
      <c r="S144" s="297"/>
    </row>
    <row r="145" spans="1:19" ht="24" customHeight="1" thickBot="1" x14ac:dyDescent="0.3">
      <c r="A145" s="19"/>
      <c r="B145" s="101" t="s">
        <v>242</v>
      </c>
      <c r="C145" s="102"/>
      <c r="D145" s="102"/>
      <c r="E145" s="102"/>
      <c r="F145" s="102"/>
      <c r="G145" s="116">
        <v>540588.32999999996</v>
      </c>
      <c r="H145" s="298"/>
      <c r="I145" s="214"/>
      <c r="J145" s="48"/>
      <c r="K145" s="19"/>
      <c r="L145" s="101" t="s">
        <v>242</v>
      </c>
      <c r="M145" s="102"/>
      <c r="N145" s="102"/>
      <c r="O145" s="102"/>
      <c r="P145" s="102"/>
      <c r="Q145" s="116">
        <v>706176.54</v>
      </c>
      <c r="R145" s="298"/>
      <c r="S145" s="214"/>
    </row>
    <row r="146" spans="1:19" ht="24" customHeight="1" thickBot="1" x14ac:dyDescent="0.3">
      <c r="A146" s="19"/>
      <c r="B146" s="106" t="s">
        <v>444</v>
      </c>
      <c r="C146" s="107"/>
      <c r="D146" s="107"/>
      <c r="E146" s="107"/>
      <c r="F146" s="107"/>
      <c r="G146" s="116">
        <v>128561.23</v>
      </c>
      <c r="H146" s="298"/>
      <c r="I146" s="214"/>
      <c r="J146" s="49"/>
      <c r="K146" s="19"/>
      <c r="L146" s="106" t="s">
        <v>444</v>
      </c>
      <c r="M146" s="107"/>
      <c r="N146" s="107"/>
      <c r="O146" s="107"/>
      <c r="P146" s="107"/>
      <c r="Q146" s="116">
        <v>329477.45</v>
      </c>
      <c r="R146" s="298"/>
      <c r="S146" s="214"/>
    </row>
    <row r="147" spans="1:19" ht="42.75" customHeight="1" x14ac:dyDescent="0.25">
      <c r="A147" s="3"/>
      <c r="B147" s="323" t="s">
        <v>510</v>
      </c>
      <c r="C147" s="327"/>
      <c r="D147" s="327"/>
      <c r="E147" s="327"/>
      <c r="F147" s="327"/>
      <c r="G147" s="327"/>
      <c r="H147" s="327"/>
      <c r="I147" s="327"/>
      <c r="K147" s="3"/>
      <c r="L147" s="323" t="s">
        <v>512</v>
      </c>
      <c r="M147" s="323"/>
      <c r="N147" s="323"/>
      <c r="O147" s="323"/>
      <c r="P147" s="323"/>
      <c r="Q147" s="323"/>
      <c r="R147" s="323"/>
      <c r="S147" s="323"/>
    </row>
    <row r="148" spans="1:19" ht="15.75" x14ac:dyDescent="0.25">
      <c r="A148" s="30"/>
      <c r="K148" s="30"/>
    </row>
    <row r="149" spans="1:19" ht="15.75" x14ac:dyDescent="0.25">
      <c r="A149" s="30"/>
      <c r="K149" s="30"/>
    </row>
    <row r="150" spans="1:19" x14ac:dyDescent="0.25">
      <c r="A150" s="3"/>
      <c r="B150" s="3"/>
      <c r="C150" s="3"/>
      <c r="D150" s="3"/>
      <c r="E150" s="4" t="s">
        <v>204</v>
      </c>
      <c r="F150" s="3"/>
      <c r="G150" s="3"/>
      <c r="H150" s="3"/>
      <c r="I150" s="3"/>
      <c r="K150" s="3"/>
      <c r="L150" s="3"/>
      <c r="M150" s="3"/>
      <c r="N150" s="3"/>
      <c r="O150" s="4" t="s">
        <v>204</v>
      </c>
      <c r="P150" s="3"/>
      <c r="Q150" s="3"/>
      <c r="R150" s="3"/>
      <c r="S150" s="3"/>
    </row>
    <row r="151" spans="1:19" x14ac:dyDescent="0.25">
      <c r="A151" s="3" t="s">
        <v>205</v>
      </c>
      <c r="B151" s="3"/>
      <c r="C151" s="3"/>
      <c r="D151" s="3" t="s">
        <v>295</v>
      </c>
      <c r="E151" s="3"/>
      <c r="F151" s="3"/>
      <c r="G151" s="3"/>
      <c r="H151" s="3"/>
      <c r="I151" s="3"/>
      <c r="K151" s="3" t="s">
        <v>205</v>
      </c>
      <c r="L151" s="3"/>
      <c r="M151" s="3"/>
      <c r="N151" s="3" t="s">
        <v>296</v>
      </c>
      <c r="O151" s="3"/>
      <c r="P151" s="3"/>
      <c r="Q151" s="3"/>
      <c r="R151" s="3"/>
      <c r="S151" s="3"/>
    </row>
    <row r="152" spans="1:19" x14ac:dyDescent="0.25">
      <c r="A152" s="3"/>
      <c r="B152" s="5" t="s">
        <v>440</v>
      </c>
      <c r="C152" s="3"/>
      <c r="D152" s="3"/>
      <c r="E152" s="3"/>
      <c r="F152" s="3"/>
      <c r="G152" s="3"/>
      <c r="H152" s="3"/>
      <c r="I152" s="3"/>
      <c r="K152" s="3"/>
      <c r="L152" s="5" t="s">
        <v>440</v>
      </c>
      <c r="M152" s="3"/>
      <c r="N152" s="3"/>
      <c r="O152" s="3"/>
      <c r="P152" s="3"/>
      <c r="Q152" s="3"/>
      <c r="R152" s="3"/>
      <c r="S152" s="3"/>
    </row>
    <row r="153" spans="1:19" ht="15.75" thickBot="1" x14ac:dyDescent="0.3">
      <c r="A153" s="3"/>
      <c r="B153" s="5" t="s">
        <v>206</v>
      </c>
      <c r="C153" s="3"/>
      <c r="D153" s="3"/>
      <c r="E153" s="3"/>
      <c r="F153" s="3">
        <v>12549.1</v>
      </c>
      <c r="G153" s="3" t="s">
        <v>207</v>
      </c>
      <c r="H153" s="65"/>
      <c r="I153" s="3"/>
      <c r="J153" s="3"/>
      <c r="K153" s="3"/>
      <c r="L153" s="5" t="s">
        <v>206</v>
      </c>
      <c r="M153" s="3"/>
      <c r="N153" s="3"/>
      <c r="O153" s="3"/>
      <c r="P153" s="3">
        <v>10567.3</v>
      </c>
      <c r="Q153" s="3" t="s">
        <v>207</v>
      </c>
      <c r="R153" s="3"/>
      <c r="S153" s="3"/>
    </row>
    <row r="154" spans="1:19" ht="15.75" customHeight="1" thickBot="1" x14ac:dyDescent="0.3">
      <c r="A154" s="175" t="s">
        <v>209</v>
      </c>
      <c r="B154" s="177" t="s">
        <v>210</v>
      </c>
      <c r="C154" s="178"/>
      <c r="D154" s="178"/>
      <c r="E154" s="178"/>
      <c r="F154" s="178"/>
      <c r="G154" s="180" t="s">
        <v>442</v>
      </c>
      <c r="H154" s="181"/>
      <c r="I154" s="175" t="s">
        <v>212</v>
      </c>
      <c r="J154" s="3"/>
      <c r="K154" s="175" t="s">
        <v>209</v>
      </c>
      <c r="L154" s="177" t="s">
        <v>210</v>
      </c>
      <c r="M154" s="178"/>
      <c r="N154" s="178"/>
      <c r="O154" s="178"/>
      <c r="P154" s="178"/>
      <c r="Q154" s="180" t="s">
        <v>442</v>
      </c>
      <c r="R154" s="181"/>
      <c r="S154" s="175" t="s">
        <v>212</v>
      </c>
    </row>
    <row r="155" spans="1:19" ht="66" customHeight="1" thickBot="1" x14ac:dyDescent="0.3">
      <c r="A155" s="176"/>
      <c r="B155" s="179"/>
      <c r="C155" s="179"/>
      <c r="D155" s="179"/>
      <c r="E155" s="179"/>
      <c r="F155" s="179"/>
      <c r="G155" s="182"/>
      <c r="H155" s="183"/>
      <c r="I155" s="184"/>
      <c r="J155" s="31"/>
      <c r="K155" s="176"/>
      <c r="L155" s="179"/>
      <c r="M155" s="179"/>
      <c r="N155" s="179"/>
      <c r="O155" s="179"/>
      <c r="P155" s="179"/>
      <c r="Q155" s="182"/>
      <c r="R155" s="183"/>
      <c r="S155" s="184"/>
    </row>
    <row r="156" spans="1:19" ht="19.5" customHeight="1" thickBot="1" x14ac:dyDescent="0.3">
      <c r="A156" s="185" t="s">
        <v>213</v>
      </c>
      <c r="B156" s="187" t="s">
        <v>354</v>
      </c>
      <c r="C156" s="188"/>
      <c r="D156" s="188"/>
      <c r="E156" s="188"/>
      <c r="F156" s="188"/>
      <c r="G156" s="190">
        <v>229345.9</v>
      </c>
      <c r="H156" s="191"/>
      <c r="I156" s="192"/>
      <c r="J156" s="32"/>
      <c r="K156" s="185" t="s">
        <v>213</v>
      </c>
      <c r="L156" s="187" t="s">
        <v>354</v>
      </c>
      <c r="M156" s="188"/>
      <c r="N156" s="188"/>
      <c r="O156" s="188"/>
      <c r="P156" s="188"/>
      <c r="Q156" s="190">
        <v>213191.73</v>
      </c>
      <c r="R156" s="191"/>
      <c r="S156" s="192"/>
    </row>
    <row r="157" spans="1:19" ht="15.75" hidden="1" customHeight="1" x14ac:dyDescent="0.25">
      <c r="A157" s="186"/>
      <c r="B157" s="189"/>
      <c r="C157" s="189"/>
      <c r="D157" s="189"/>
      <c r="E157" s="189"/>
      <c r="F157" s="189"/>
      <c r="G157" s="193"/>
      <c r="H157" s="194"/>
      <c r="I157" s="128"/>
      <c r="J157" s="33"/>
      <c r="K157" s="186"/>
      <c r="L157" s="189"/>
      <c r="M157" s="189"/>
      <c r="N157" s="189"/>
      <c r="O157" s="189"/>
      <c r="P157" s="189"/>
      <c r="Q157" s="193"/>
      <c r="R157" s="194"/>
      <c r="S157" s="128"/>
    </row>
    <row r="158" spans="1:19" ht="16.5" customHeight="1" x14ac:dyDescent="0.25">
      <c r="A158" s="6"/>
      <c r="B158" s="161" t="s">
        <v>214</v>
      </c>
      <c r="C158" s="162"/>
      <c r="D158" s="162"/>
      <c r="E158" s="162"/>
      <c r="F158" s="162"/>
      <c r="G158" s="163">
        <f>1.65*12*F153</f>
        <v>248472.17999999996</v>
      </c>
      <c r="H158" s="164"/>
      <c r="I158" s="169" t="s">
        <v>215</v>
      </c>
      <c r="J158" s="36"/>
      <c r="K158" s="6"/>
      <c r="L158" s="161" t="s">
        <v>214</v>
      </c>
      <c r="M158" s="162"/>
      <c r="N158" s="162"/>
      <c r="O158" s="162"/>
      <c r="P158" s="162"/>
      <c r="Q158" s="163">
        <f>1.55*12*P153</f>
        <v>196551.78</v>
      </c>
      <c r="R158" s="164"/>
      <c r="S158" s="169" t="s">
        <v>215</v>
      </c>
    </row>
    <row r="159" spans="1:19" ht="30" customHeight="1" thickBot="1" x14ac:dyDescent="0.3">
      <c r="A159" s="7"/>
      <c r="B159" s="171" t="s">
        <v>216</v>
      </c>
      <c r="C159" s="172"/>
      <c r="D159" s="172"/>
      <c r="E159" s="172"/>
      <c r="F159" s="172"/>
      <c r="G159" s="165"/>
      <c r="H159" s="166"/>
      <c r="I159" s="170"/>
      <c r="J159" s="35"/>
      <c r="K159" s="7"/>
      <c r="L159" s="171" t="s">
        <v>216</v>
      </c>
      <c r="M159" s="172"/>
      <c r="N159" s="172"/>
      <c r="O159" s="172"/>
      <c r="P159" s="172"/>
      <c r="Q159" s="165"/>
      <c r="R159" s="166"/>
      <c r="S159" s="170"/>
    </row>
    <row r="160" spans="1:19" ht="13.5" customHeight="1" thickBot="1" x14ac:dyDescent="0.3">
      <c r="A160" s="7"/>
      <c r="B160" s="173" t="s">
        <v>217</v>
      </c>
      <c r="C160" s="174"/>
      <c r="D160" s="174"/>
      <c r="E160" s="174"/>
      <c r="F160" s="174"/>
      <c r="G160" s="167"/>
      <c r="H160" s="168"/>
      <c r="I160" s="8" t="s">
        <v>218</v>
      </c>
      <c r="J160" s="36"/>
      <c r="K160" s="7"/>
      <c r="L160" s="173" t="s">
        <v>217</v>
      </c>
      <c r="M160" s="174"/>
      <c r="N160" s="174"/>
      <c r="O160" s="174"/>
      <c r="P160" s="174"/>
      <c r="Q160" s="167"/>
      <c r="R160" s="168"/>
      <c r="S160" s="8" t="s">
        <v>218</v>
      </c>
    </row>
    <row r="161" spans="1:19" ht="17.25" customHeight="1" thickBot="1" x14ac:dyDescent="0.3">
      <c r="A161" s="7"/>
      <c r="B161" s="141" t="s">
        <v>219</v>
      </c>
      <c r="C161" s="142"/>
      <c r="D161" s="142"/>
      <c r="E161" s="142"/>
      <c r="F161" s="142"/>
      <c r="G161" s="143">
        <f>1748.85*6*12</f>
        <v>125917.19999999998</v>
      </c>
      <c r="H161" s="144"/>
      <c r="I161" s="8" t="s">
        <v>220</v>
      </c>
      <c r="J161" s="36"/>
      <c r="K161" s="7"/>
      <c r="L161" s="141" t="s">
        <v>219</v>
      </c>
      <c r="M161" s="142"/>
      <c r="N161" s="142"/>
      <c r="O161" s="142"/>
      <c r="P161" s="142"/>
      <c r="Q161" s="143">
        <f>1748.85*3*12</f>
        <v>62958.599999999991</v>
      </c>
      <c r="R161" s="144"/>
      <c r="S161" s="8" t="s">
        <v>220</v>
      </c>
    </row>
    <row r="162" spans="1:19" ht="17.25" customHeight="1" thickBot="1" x14ac:dyDescent="0.3">
      <c r="A162" s="7"/>
      <c r="B162" s="141" t="s">
        <v>221</v>
      </c>
      <c r="C162" s="142"/>
      <c r="D162" s="142"/>
      <c r="E162" s="142"/>
      <c r="F162" s="142"/>
      <c r="G162" s="143">
        <f>0.474*12*F153</f>
        <v>71379.280799999993</v>
      </c>
      <c r="H162" s="144"/>
      <c r="I162" s="8" t="s">
        <v>222</v>
      </c>
      <c r="J162" s="37"/>
      <c r="K162" s="7"/>
      <c r="L162" s="141" t="s">
        <v>221</v>
      </c>
      <c r="M162" s="142"/>
      <c r="N162" s="142"/>
      <c r="O162" s="142"/>
      <c r="P162" s="142"/>
      <c r="Q162" s="143">
        <f>0.474*12*P153</f>
        <v>60106.802399999993</v>
      </c>
      <c r="R162" s="144"/>
      <c r="S162" s="8" t="s">
        <v>222</v>
      </c>
    </row>
    <row r="163" spans="1:19" ht="13.5" customHeight="1" x14ac:dyDescent="0.25">
      <c r="A163" s="9"/>
      <c r="B163" s="145" t="s">
        <v>223</v>
      </c>
      <c r="C163" s="146"/>
      <c r="D163" s="146"/>
      <c r="E163" s="146"/>
      <c r="F163" s="146"/>
      <c r="G163" s="86">
        <f>1.99*12*F153</f>
        <v>299672.50799999997</v>
      </c>
      <c r="H163" s="147"/>
      <c r="I163" s="152" t="s">
        <v>224</v>
      </c>
      <c r="J163" s="38"/>
      <c r="K163" s="9"/>
      <c r="L163" s="145" t="s">
        <v>223</v>
      </c>
      <c r="M163" s="146"/>
      <c r="N163" s="146"/>
      <c r="O163" s="146"/>
      <c r="P163" s="146"/>
      <c r="Q163" s="86">
        <f>2.19*12*P153</f>
        <v>277708.64399999997</v>
      </c>
      <c r="R163" s="147"/>
      <c r="S163" s="152" t="s">
        <v>224</v>
      </c>
    </row>
    <row r="164" spans="1:19" ht="13.5" customHeight="1" x14ac:dyDescent="0.25">
      <c r="A164" s="10"/>
      <c r="B164" s="155" t="s">
        <v>226</v>
      </c>
      <c r="C164" s="156"/>
      <c r="D164" s="156"/>
      <c r="E164" s="156"/>
      <c r="F164" s="156"/>
      <c r="G164" s="148"/>
      <c r="H164" s="149"/>
      <c r="I164" s="153"/>
      <c r="J164" s="38"/>
      <c r="K164" s="10"/>
      <c r="L164" s="155" t="s">
        <v>226</v>
      </c>
      <c r="M164" s="156"/>
      <c r="N164" s="156"/>
      <c r="O164" s="156"/>
      <c r="P164" s="156"/>
      <c r="Q164" s="148"/>
      <c r="R164" s="149"/>
      <c r="S164" s="153"/>
    </row>
    <row r="165" spans="1:19" ht="13.5" customHeight="1" thickBot="1" x14ac:dyDescent="0.3">
      <c r="A165" s="10"/>
      <c r="B165" s="157" t="s">
        <v>227</v>
      </c>
      <c r="C165" s="158"/>
      <c r="D165" s="158"/>
      <c r="E165" s="158"/>
      <c r="F165" s="158"/>
      <c r="G165" s="148"/>
      <c r="H165" s="149"/>
      <c r="I165" s="154"/>
      <c r="J165" s="39"/>
      <c r="K165" s="10"/>
      <c r="L165" s="157" t="s">
        <v>227</v>
      </c>
      <c r="M165" s="158"/>
      <c r="N165" s="158"/>
      <c r="O165" s="158"/>
      <c r="P165" s="158"/>
      <c r="Q165" s="148"/>
      <c r="R165" s="149"/>
      <c r="S165" s="154"/>
    </row>
    <row r="166" spans="1:19" ht="13.5" customHeight="1" thickBot="1" x14ac:dyDescent="0.3">
      <c r="A166" s="10"/>
      <c r="B166" s="159" t="s">
        <v>228</v>
      </c>
      <c r="C166" s="160"/>
      <c r="D166" s="160"/>
      <c r="E166" s="160"/>
      <c r="F166" s="160"/>
      <c r="G166" s="150"/>
      <c r="H166" s="151"/>
      <c r="I166" s="11" t="s">
        <v>229</v>
      </c>
      <c r="J166" s="36"/>
      <c r="K166" s="10"/>
      <c r="L166" s="159" t="s">
        <v>228</v>
      </c>
      <c r="M166" s="160"/>
      <c r="N166" s="160"/>
      <c r="O166" s="160"/>
      <c r="P166" s="160"/>
      <c r="Q166" s="150"/>
      <c r="R166" s="151"/>
      <c r="S166" s="11" t="s">
        <v>229</v>
      </c>
    </row>
    <row r="167" spans="1:19" ht="13.5" customHeight="1" x14ac:dyDescent="0.25">
      <c r="A167" s="12"/>
      <c r="B167" s="125" t="s">
        <v>230</v>
      </c>
      <c r="C167" s="126"/>
      <c r="D167" s="126"/>
      <c r="E167" s="126"/>
      <c r="F167" s="126"/>
      <c r="G167" s="86">
        <f>0.048*12*F153</f>
        <v>7228.2816000000012</v>
      </c>
      <c r="H167" s="87"/>
      <c r="I167" s="129" t="s">
        <v>220</v>
      </c>
      <c r="J167" s="36"/>
      <c r="K167" s="12"/>
      <c r="L167" s="125" t="s">
        <v>230</v>
      </c>
      <c r="M167" s="126"/>
      <c r="N167" s="126"/>
      <c r="O167" s="126"/>
      <c r="P167" s="126"/>
      <c r="Q167" s="86">
        <f>0.048*12*P153</f>
        <v>6086.7647999999999</v>
      </c>
      <c r="R167" s="87"/>
      <c r="S167" s="129" t="s">
        <v>220</v>
      </c>
    </row>
    <row r="168" spans="1:19" ht="13.5" customHeight="1" thickBot="1" x14ac:dyDescent="0.3">
      <c r="A168" s="7"/>
      <c r="B168" s="131" t="s">
        <v>231</v>
      </c>
      <c r="C168" s="132"/>
      <c r="D168" s="132"/>
      <c r="E168" s="132"/>
      <c r="F168" s="132"/>
      <c r="G168" s="127"/>
      <c r="H168" s="128"/>
      <c r="I168" s="130"/>
      <c r="J168" s="36"/>
      <c r="K168" s="7"/>
      <c r="L168" s="131" t="s">
        <v>231</v>
      </c>
      <c r="M168" s="132"/>
      <c r="N168" s="132"/>
      <c r="O168" s="132"/>
      <c r="P168" s="132"/>
      <c r="Q168" s="127"/>
      <c r="R168" s="128"/>
      <c r="S168" s="130"/>
    </row>
    <row r="169" spans="1:19" ht="15.75" customHeight="1" thickBot="1" x14ac:dyDescent="0.3">
      <c r="A169" s="13"/>
      <c r="B169" s="133" t="s">
        <v>232</v>
      </c>
      <c r="C169" s="134"/>
      <c r="D169" s="134"/>
      <c r="E169" s="134"/>
      <c r="F169" s="134"/>
      <c r="G169" s="135"/>
      <c r="H169" s="136"/>
      <c r="I169" s="14"/>
      <c r="J169" s="36"/>
      <c r="K169" s="13"/>
      <c r="L169" s="133" t="s">
        <v>232</v>
      </c>
      <c r="M169" s="134"/>
      <c r="N169" s="134"/>
      <c r="O169" s="134"/>
      <c r="P169" s="134"/>
      <c r="Q169" s="135"/>
      <c r="R169" s="136"/>
      <c r="S169" s="14"/>
    </row>
    <row r="170" spans="1:19" ht="15.75" customHeight="1" thickBot="1" x14ac:dyDescent="0.3">
      <c r="A170" s="13"/>
      <c r="B170" s="84" t="s">
        <v>233</v>
      </c>
      <c r="C170" s="85"/>
      <c r="D170" s="85"/>
      <c r="E170" s="85"/>
      <c r="F170" s="85"/>
      <c r="G170" s="86">
        <f>1.31*12*F153</f>
        <v>197271.85200000001</v>
      </c>
      <c r="H170" s="87"/>
      <c r="I170" s="317" t="s">
        <v>515</v>
      </c>
      <c r="J170" s="41"/>
      <c r="K170" s="13"/>
      <c r="L170" s="84" t="s">
        <v>233</v>
      </c>
      <c r="M170" s="85"/>
      <c r="N170" s="85"/>
      <c r="O170" s="85"/>
      <c r="P170" s="85"/>
      <c r="Q170" s="86">
        <f>1.53*12*P153</f>
        <v>194015.62799999997</v>
      </c>
      <c r="R170" s="87"/>
      <c r="S170" s="324" t="s">
        <v>516</v>
      </c>
    </row>
    <row r="171" spans="1:19" ht="67.5" customHeight="1" x14ac:dyDescent="0.25">
      <c r="A171" s="118"/>
      <c r="B171" s="121" t="s">
        <v>226</v>
      </c>
      <c r="C171" s="122"/>
      <c r="D171" s="122"/>
      <c r="E171" s="122"/>
      <c r="F171" s="122"/>
      <c r="G171" s="88"/>
      <c r="H171" s="89"/>
      <c r="I171" s="318"/>
      <c r="J171" s="41"/>
      <c r="K171" s="118"/>
      <c r="L171" s="121" t="s">
        <v>226</v>
      </c>
      <c r="M171" s="122"/>
      <c r="N171" s="122"/>
      <c r="O171" s="122"/>
      <c r="P171" s="122"/>
      <c r="Q171" s="88"/>
      <c r="R171" s="89"/>
      <c r="S171" s="325"/>
    </row>
    <row r="172" spans="1:19" ht="63" customHeight="1" x14ac:dyDescent="0.25">
      <c r="A172" s="119"/>
      <c r="B172" s="121" t="s">
        <v>227</v>
      </c>
      <c r="C172" s="122"/>
      <c r="D172" s="122"/>
      <c r="E172" s="122"/>
      <c r="F172" s="122"/>
      <c r="G172" s="88"/>
      <c r="H172" s="89"/>
      <c r="I172" s="318"/>
      <c r="J172" s="41"/>
      <c r="K172" s="119"/>
      <c r="L172" s="121" t="s">
        <v>227</v>
      </c>
      <c r="M172" s="122"/>
      <c r="N172" s="122"/>
      <c r="O172" s="122"/>
      <c r="P172" s="122"/>
      <c r="Q172" s="88"/>
      <c r="R172" s="89"/>
      <c r="S172" s="325"/>
    </row>
    <row r="173" spans="1:19" ht="60.75" customHeight="1" x14ac:dyDescent="0.25">
      <c r="A173" s="119"/>
      <c r="B173" s="121" t="s">
        <v>228</v>
      </c>
      <c r="C173" s="122"/>
      <c r="D173" s="122"/>
      <c r="E173" s="122"/>
      <c r="F173" s="122"/>
      <c r="G173" s="88"/>
      <c r="H173" s="89"/>
      <c r="I173" s="318"/>
      <c r="J173" s="41"/>
      <c r="K173" s="119"/>
      <c r="L173" s="121" t="s">
        <v>228</v>
      </c>
      <c r="M173" s="122"/>
      <c r="N173" s="122"/>
      <c r="O173" s="122"/>
      <c r="P173" s="122"/>
      <c r="Q173" s="88"/>
      <c r="R173" s="89"/>
      <c r="S173" s="325"/>
    </row>
    <row r="174" spans="1:19" ht="136.5" customHeight="1" thickBot="1" x14ac:dyDescent="0.3">
      <c r="A174" s="120"/>
      <c r="B174" s="123" t="s">
        <v>234</v>
      </c>
      <c r="C174" s="124"/>
      <c r="D174" s="124"/>
      <c r="E174" s="124"/>
      <c r="F174" s="124"/>
      <c r="G174" s="90"/>
      <c r="H174" s="91"/>
      <c r="I174" s="319"/>
      <c r="J174" s="42"/>
      <c r="K174" s="120"/>
      <c r="L174" s="123" t="s">
        <v>234</v>
      </c>
      <c r="M174" s="124"/>
      <c r="N174" s="124"/>
      <c r="O174" s="124"/>
      <c r="P174" s="124"/>
      <c r="Q174" s="90"/>
      <c r="R174" s="91"/>
      <c r="S174" s="326"/>
    </row>
    <row r="175" spans="1:19" ht="0.75" customHeight="1" thickBot="1" x14ac:dyDescent="0.3">
      <c r="A175" s="15"/>
      <c r="B175" s="137"/>
      <c r="C175" s="138"/>
      <c r="D175" s="138"/>
      <c r="E175" s="138"/>
      <c r="F175" s="138"/>
      <c r="G175" s="139"/>
      <c r="H175" s="140"/>
      <c r="I175" s="16"/>
      <c r="J175" s="43"/>
      <c r="K175" s="15"/>
      <c r="L175" s="137"/>
      <c r="M175" s="138"/>
      <c r="N175" s="138"/>
      <c r="O175" s="138"/>
      <c r="P175" s="138"/>
      <c r="Q175" s="139"/>
      <c r="R175" s="140"/>
      <c r="S175" s="16"/>
    </row>
    <row r="176" spans="1:19" ht="27.75" customHeight="1" thickBot="1" x14ac:dyDescent="0.3">
      <c r="A176" s="15"/>
      <c r="B176" s="137" t="s">
        <v>235</v>
      </c>
      <c r="C176" s="138"/>
      <c r="D176" s="138"/>
      <c r="E176" s="138"/>
      <c r="F176" s="138"/>
      <c r="G176" s="139"/>
      <c r="H176" s="140"/>
      <c r="I176" s="16"/>
      <c r="J176" s="44"/>
      <c r="K176" s="15"/>
      <c r="L176" s="137" t="s">
        <v>235</v>
      </c>
      <c r="M176" s="138"/>
      <c r="N176" s="138"/>
      <c r="O176" s="138"/>
      <c r="P176" s="138"/>
      <c r="Q176" s="139"/>
      <c r="R176" s="140"/>
      <c r="S176" s="16"/>
    </row>
    <row r="177" spans="1:19" ht="27" customHeight="1" thickBot="1" x14ac:dyDescent="0.3">
      <c r="A177" s="17"/>
      <c r="B177" s="78" t="s">
        <v>237</v>
      </c>
      <c r="C177" s="79"/>
      <c r="D177" s="79"/>
      <c r="E177" s="79"/>
      <c r="F177" s="79"/>
      <c r="G177" s="86">
        <f>83375+25642</f>
        <v>109017</v>
      </c>
      <c r="H177" s="87"/>
      <c r="I177" s="108" t="s">
        <v>229</v>
      </c>
      <c r="J177" s="40"/>
      <c r="K177" s="17"/>
      <c r="L177" s="78" t="s">
        <v>237</v>
      </c>
      <c r="M177" s="79"/>
      <c r="N177" s="79"/>
      <c r="O177" s="79"/>
      <c r="P177" s="79"/>
      <c r="Q177" s="86">
        <f>35506+3180</f>
        <v>38686</v>
      </c>
      <c r="R177" s="87"/>
      <c r="S177" s="108" t="s">
        <v>229</v>
      </c>
    </row>
    <row r="178" spans="1:19" ht="15.75" thickBot="1" x14ac:dyDescent="0.3">
      <c r="A178" s="18"/>
      <c r="B178" s="110" t="s">
        <v>238</v>
      </c>
      <c r="C178" s="111"/>
      <c r="D178" s="111"/>
      <c r="E178" s="111"/>
      <c r="F178" s="111"/>
      <c r="G178" s="90"/>
      <c r="H178" s="91"/>
      <c r="I178" s="109"/>
      <c r="J178" s="45"/>
      <c r="K178" s="18"/>
      <c r="L178" s="110" t="s">
        <v>238</v>
      </c>
      <c r="M178" s="111"/>
      <c r="N178" s="111"/>
      <c r="O178" s="111"/>
      <c r="P178" s="111"/>
      <c r="Q178" s="90"/>
      <c r="R178" s="91"/>
      <c r="S178" s="109"/>
    </row>
    <row r="179" spans="1:19" ht="15.75" thickBot="1" x14ac:dyDescent="0.3">
      <c r="A179" s="19"/>
      <c r="B179" s="112" t="s">
        <v>239</v>
      </c>
      <c r="C179" s="113"/>
      <c r="D179" s="113"/>
      <c r="E179" s="113"/>
      <c r="F179" s="113"/>
      <c r="G179" s="114">
        <f>SUM(G158:H178)</f>
        <v>1058958.3023999999</v>
      </c>
      <c r="H179" s="115"/>
      <c r="I179" s="20"/>
      <c r="J179" s="46"/>
      <c r="K179" s="19"/>
      <c r="L179" s="112" t="s">
        <v>239</v>
      </c>
      <c r="M179" s="113"/>
      <c r="N179" s="113"/>
      <c r="O179" s="113"/>
      <c r="P179" s="113"/>
      <c r="Q179" s="114">
        <f>SUM(Q158:R178)</f>
        <v>836114.21919999993</v>
      </c>
      <c r="R179" s="115"/>
      <c r="S179" s="20"/>
    </row>
    <row r="180" spans="1:19" ht="35.25" customHeight="1" thickBot="1" x14ac:dyDescent="0.3">
      <c r="A180" s="21"/>
      <c r="B180" s="101" t="s">
        <v>240</v>
      </c>
      <c r="C180" s="102"/>
      <c r="D180" s="102"/>
      <c r="E180" s="102"/>
      <c r="F180" s="102"/>
      <c r="G180" s="116">
        <f>G179*1.2</f>
        <v>1270749.9628799998</v>
      </c>
      <c r="H180" s="117"/>
      <c r="I180" s="22"/>
      <c r="J180" s="47"/>
      <c r="K180" s="21"/>
      <c r="L180" s="101" t="s">
        <v>240</v>
      </c>
      <c r="M180" s="102"/>
      <c r="N180" s="102"/>
      <c r="O180" s="102"/>
      <c r="P180" s="102"/>
      <c r="Q180" s="116">
        <f>Q179*1.2</f>
        <v>1003337.0630399999</v>
      </c>
      <c r="R180" s="117"/>
      <c r="S180" s="22"/>
    </row>
    <row r="181" spans="1:19" ht="35.25" customHeight="1" thickBot="1" x14ac:dyDescent="0.3">
      <c r="A181" s="24"/>
      <c r="B181" s="96" t="s">
        <v>443</v>
      </c>
      <c r="C181" s="97"/>
      <c r="D181" s="97"/>
      <c r="E181" s="97"/>
      <c r="F181" s="97"/>
      <c r="G181" s="295">
        <v>1317264.8799999999</v>
      </c>
      <c r="H181" s="296"/>
      <c r="I181" s="297"/>
      <c r="J181" s="47"/>
      <c r="K181" s="24"/>
      <c r="L181" s="96" t="s">
        <v>443</v>
      </c>
      <c r="M181" s="97"/>
      <c r="N181" s="97"/>
      <c r="O181" s="97"/>
      <c r="P181" s="97"/>
      <c r="Q181" s="295">
        <v>1031780.53</v>
      </c>
      <c r="R181" s="296"/>
      <c r="S181" s="297"/>
    </row>
    <row r="182" spans="1:19" ht="35.25" customHeight="1" thickBot="1" x14ac:dyDescent="0.3">
      <c r="A182" s="19"/>
      <c r="B182" s="101" t="s">
        <v>242</v>
      </c>
      <c r="C182" s="102"/>
      <c r="D182" s="102"/>
      <c r="E182" s="102"/>
      <c r="F182" s="102"/>
      <c r="G182" s="116">
        <v>1291889</v>
      </c>
      <c r="H182" s="298"/>
      <c r="I182" s="214"/>
      <c r="J182" s="47"/>
      <c r="K182" s="19"/>
      <c r="L182" s="101" t="s">
        <v>242</v>
      </c>
      <c r="M182" s="102"/>
      <c r="N182" s="102"/>
      <c r="O182" s="102"/>
      <c r="P182" s="102"/>
      <c r="Q182" s="116">
        <v>1007316.9</v>
      </c>
      <c r="R182" s="298"/>
      <c r="S182" s="214"/>
    </row>
    <row r="183" spans="1:19" ht="35.25" customHeight="1" thickBot="1" x14ac:dyDescent="0.3">
      <c r="A183" s="19"/>
      <c r="B183" s="106" t="s">
        <v>444</v>
      </c>
      <c r="C183" s="107"/>
      <c r="D183" s="107"/>
      <c r="E183" s="107"/>
      <c r="F183" s="107"/>
      <c r="G183" s="116">
        <v>254721.78</v>
      </c>
      <c r="H183" s="298"/>
      <c r="I183" s="214"/>
      <c r="J183" s="47"/>
      <c r="K183" s="19"/>
      <c r="L183" s="106" t="s">
        <v>243</v>
      </c>
      <c r="M183" s="107"/>
      <c r="N183" s="107"/>
      <c r="O183" s="107"/>
      <c r="P183" s="107"/>
      <c r="Q183" s="116">
        <v>237655.36</v>
      </c>
      <c r="R183" s="298"/>
      <c r="S183" s="214"/>
    </row>
    <row r="184" spans="1:19" ht="87.6" customHeight="1" x14ac:dyDescent="0.25">
      <c r="A184" s="3"/>
      <c r="B184" s="323" t="s">
        <v>514</v>
      </c>
      <c r="C184" s="323"/>
      <c r="D184" s="323"/>
      <c r="E184" s="323"/>
      <c r="F184" s="323"/>
      <c r="G184" s="323"/>
      <c r="H184" s="323"/>
      <c r="I184" s="323"/>
      <c r="K184" s="3"/>
      <c r="S184" s="5"/>
    </row>
    <row r="185" spans="1:19" ht="15.75" x14ac:dyDescent="0.25">
      <c r="A185" s="3"/>
      <c r="C185" s="30"/>
      <c r="N185" s="30"/>
    </row>
    <row r="186" spans="1:19" ht="15.75" x14ac:dyDescent="0.25">
      <c r="A186" s="30"/>
      <c r="C186" s="30"/>
      <c r="K186" s="30"/>
      <c r="N186" s="30"/>
    </row>
    <row r="187" spans="1:19" ht="15.75" x14ac:dyDescent="0.25">
      <c r="A187" s="30"/>
      <c r="C187" s="30"/>
      <c r="K187" s="30"/>
      <c r="N187" s="30"/>
    </row>
    <row r="188" spans="1:19" ht="15.75" x14ac:dyDescent="0.25">
      <c r="A188" s="30"/>
      <c r="C188" s="30"/>
      <c r="K188" s="30"/>
      <c r="N188" s="30"/>
    </row>
    <row r="189" spans="1:19" x14ac:dyDescent="0.25">
      <c r="A189" s="3"/>
      <c r="B189" s="3"/>
      <c r="C189" s="3"/>
      <c r="D189" s="3"/>
      <c r="E189" s="4" t="s">
        <v>204</v>
      </c>
      <c r="F189" s="3"/>
      <c r="G189" s="3"/>
      <c r="H189" s="3"/>
      <c r="I189" s="3"/>
      <c r="K189" s="3"/>
      <c r="L189" s="65"/>
      <c r="M189" s="65"/>
      <c r="N189" s="65"/>
      <c r="O189" s="66" t="s">
        <v>204</v>
      </c>
      <c r="P189" s="65"/>
      <c r="Q189" s="65"/>
      <c r="R189" s="65"/>
      <c r="S189" s="65"/>
    </row>
    <row r="190" spans="1:19" x14ac:dyDescent="0.25">
      <c r="A190" s="3" t="s">
        <v>205</v>
      </c>
      <c r="B190" s="3"/>
      <c r="C190" s="3"/>
      <c r="D190" s="3" t="s">
        <v>297</v>
      </c>
      <c r="E190" s="3"/>
      <c r="F190" s="3"/>
      <c r="G190" s="3"/>
      <c r="H190" s="3"/>
      <c r="I190" s="3"/>
      <c r="K190" s="3" t="s">
        <v>205</v>
      </c>
      <c r="L190" s="65"/>
      <c r="M190" s="65"/>
      <c r="N190" s="65" t="s">
        <v>298</v>
      </c>
      <c r="O190" s="65"/>
      <c r="P190" s="65"/>
      <c r="Q190" s="65"/>
      <c r="R190" s="65"/>
      <c r="S190" s="65"/>
    </row>
    <row r="191" spans="1:19" x14ac:dyDescent="0.25">
      <c r="A191" s="3"/>
      <c r="B191" s="5" t="s">
        <v>440</v>
      </c>
      <c r="C191" s="3"/>
      <c r="D191" s="3"/>
      <c r="E191" s="3"/>
      <c r="F191" s="3"/>
      <c r="G191" s="3"/>
      <c r="H191" s="3"/>
      <c r="I191" s="3"/>
      <c r="K191" s="3"/>
      <c r="L191" s="67"/>
      <c r="M191" s="65"/>
      <c r="N191" s="65"/>
      <c r="O191" s="65"/>
      <c r="P191" s="65"/>
      <c r="Q191" s="65"/>
      <c r="R191" s="65"/>
      <c r="S191" s="65"/>
    </row>
    <row r="192" spans="1:19" x14ac:dyDescent="0.25">
      <c r="A192" s="3"/>
      <c r="B192" s="5" t="s">
        <v>206</v>
      </c>
      <c r="C192" s="3"/>
      <c r="D192" s="3"/>
      <c r="E192" s="3"/>
      <c r="F192" s="3">
        <v>7635.8</v>
      </c>
      <c r="G192" s="3" t="s">
        <v>207</v>
      </c>
      <c r="H192" s="3"/>
      <c r="I192" s="3"/>
      <c r="K192" s="3"/>
      <c r="L192" s="67" t="s">
        <v>206</v>
      </c>
      <c r="M192" s="65"/>
      <c r="N192" s="65"/>
      <c r="O192" s="65"/>
      <c r="P192" s="65"/>
      <c r="Q192" s="65" t="s">
        <v>207</v>
      </c>
      <c r="R192" s="65"/>
      <c r="S192" s="65"/>
    </row>
    <row r="193" spans="1:19" ht="15.75" thickBot="1" x14ac:dyDescent="0.3">
      <c r="A193" s="3"/>
      <c r="B193" s="3"/>
      <c r="C193" s="3"/>
      <c r="D193" s="4"/>
      <c r="E193" s="4"/>
      <c r="F193" s="3"/>
      <c r="G193" s="3"/>
      <c r="H193" s="65"/>
      <c r="I193" s="3"/>
      <c r="J193" s="3"/>
      <c r="K193" s="3"/>
      <c r="L193" s="65"/>
      <c r="M193" s="65"/>
      <c r="N193" s="66"/>
      <c r="O193" s="66"/>
      <c r="P193" s="65"/>
      <c r="Q193" s="65"/>
      <c r="R193" s="65" t="s">
        <v>299</v>
      </c>
      <c r="S193" s="65"/>
    </row>
    <row r="194" spans="1:19" ht="15" customHeight="1" x14ac:dyDescent="0.25">
      <c r="A194" s="175" t="s">
        <v>209</v>
      </c>
      <c r="B194" s="177" t="s">
        <v>210</v>
      </c>
      <c r="C194" s="178"/>
      <c r="D194" s="178"/>
      <c r="E194" s="178"/>
      <c r="F194" s="178"/>
      <c r="G194" s="180" t="s">
        <v>442</v>
      </c>
      <c r="H194" s="181"/>
      <c r="I194" s="175" t="s">
        <v>212</v>
      </c>
      <c r="J194" s="3"/>
      <c r="K194" s="175" t="s">
        <v>209</v>
      </c>
      <c r="L194" s="177" t="s">
        <v>210</v>
      </c>
      <c r="M194" s="178"/>
      <c r="N194" s="178"/>
      <c r="O194" s="178"/>
      <c r="P194" s="178"/>
      <c r="Q194" s="180" t="s">
        <v>300</v>
      </c>
      <c r="R194" s="181"/>
      <c r="S194" s="175" t="s">
        <v>212</v>
      </c>
    </row>
    <row r="195" spans="1:19" ht="76.5" customHeight="1" thickBot="1" x14ac:dyDescent="0.3">
      <c r="A195" s="176"/>
      <c r="B195" s="179"/>
      <c r="C195" s="179"/>
      <c r="D195" s="179"/>
      <c r="E195" s="179"/>
      <c r="F195" s="179"/>
      <c r="G195" s="182"/>
      <c r="H195" s="183"/>
      <c r="I195" s="184"/>
      <c r="J195" s="3"/>
      <c r="K195" s="176"/>
      <c r="L195" s="179"/>
      <c r="M195" s="179"/>
      <c r="N195" s="179"/>
      <c r="O195" s="179"/>
      <c r="P195" s="179"/>
      <c r="Q195" s="182"/>
      <c r="R195" s="183"/>
      <c r="S195" s="184"/>
    </row>
    <row r="196" spans="1:19" ht="15" customHeight="1" x14ac:dyDescent="0.25">
      <c r="A196" s="185" t="s">
        <v>213</v>
      </c>
      <c r="B196" s="187" t="s">
        <v>354</v>
      </c>
      <c r="C196" s="188"/>
      <c r="D196" s="188"/>
      <c r="E196" s="188"/>
      <c r="F196" s="188"/>
      <c r="G196" s="190">
        <v>107801.05</v>
      </c>
      <c r="H196" s="191"/>
      <c r="I196" s="192"/>
      <c r="J196" s="51"/>
      <c r="K196" s="185" t="s">
        <v>213</v>
      </c>
      <c r="L196" s="187" t="s">
        <v>301</v>
      </c>
      <c r="M196" s="188"/>
      <c r="N196" s="188"/>
      <c r="O196" s="188"/>
      <c r="P196" s="188"/>
      <c r="Q196" s="190"/>
      <c r="R196" s="191"/>
      <c r="S196" s="192"/>
    </row>
    <row r="197" spans="1:19" ht="8.25" customHeight="1" thickBot="1" x14ac:dyDescent="0.3">
      <c r="A197" s="186"/>
      <c r="B197" s="189"/>
      <c r="C197" s="189"/>
      <c r="D197" s="189"/>
      <c r="E197" s="189"/>
      <c r="F197" s="189"/>
      <c r="G197" s="193"/>
      <c r="H197" s="194"/>
      <c r="I197" s="128"/>
      <c r="J197" s="52"/>
      <c r="K197" s="186"/>
      <c r="L197" s="189"/>
      <c r="M197" s="189"/>
      <c r="N197" s="189"/>
      <c r="O197" s="189"/>
      <c r="P197" s="189"/>
      <c r="Q197" s="193"/>
      <c r="R197" s="194"/>
      <c r="S197" s="128"/>
    </row>
    <row r="198" spans="1:19" ht="15" customHeight="1" x14ac:dyDescent="0.25">
      <c r="A198" s="6"/>
      <c r="B198" s="161" t="s">
        <v>214</v>
      </c>
      <c r="C198" s="162"/>
      <c r="D198" s="162"/>
      <c r="E198" s="162"/>
      <c r="F198" s="162"/>
      <c r="G198" s="163">
        <f>1.52*12*F192</f>
        <v>139276.99200000003</v>
      </c>
      <c r="H198" s="164"/>
      <c r="I198" s="169" t="s">
        <v>215</v>
      </c>
      <c r="J198" s="63"/>
      <c r="K198" s="6"/>
      <c r="L198" s="161" t="s">
        <v>214</v>
      </c>
      <c r="M198" s="162"/>
      <c r="N198" s="162"/>
      <c r="O198" s="162"/>
      <c r="P198" s="162"/>
      <c r="Q198" s="163"/>
      <c r="R198" s="164"/>
      <c r="S198" s="169" t="s">
        <v>215</v>
      </c>
    </row>
    <row r="199" spans="1:19" ht="33" customHeight="1" thickBot="1" x14ac:dyDescent="0.3">
      <c r="A199" s="7"/>
      <c r="B199" s="171" t="s">
        <v>216</v>
      </c>
      <c r="C199" s="172"/>
      <c r="D199" s="172"/>
      <c r="E199" s="172"/>
      <c r="F199" s="172"/>
      <c r="G199" s="165"/>
      <c r="H199" s="166"/>
      <c r="I199" s="170"/>
      <c r="J199" s="43"/>
      <c r="K199" s="7"/>
      <c r="L199" s="171" t="s">
        <v>216</v>
      </c>
      <c r="M199" s="172"/>
      <c r="N199" s="172"/>
      <c r="O199" s="172"/>
      <c r="P199" s="172"/>
      <c r="Q199" s="165"/>
      <c r="R199" s="166"/>
      <c r="S199" s="170"/>
    </row>
    <row r="200" spans="1:19" ht="13.5" customHeight="1" thickBot="1" x14ac:dyDescent="0.3">
      <c r="A200" s="7"/>
      <c r="B200" s="173" t="s">
        <v>217</v>
      </c>
      <c r="C200" s="174"/>
      <c r="D200" s="174"/>
      <c r="E200" s="174"/>
      <c r="F200" s="174"/>
      <c r="G200" s="167"/>
      <c r="H200" s="168"/>
      <c r="I200" s="8" t="s">
        <v>218</v>
      </c>
      <c r="J200" s="42"/>
      <c r="K200" s="7"/>
      <c r="L200" s="173" t="s">
        <v>217</v>
      </c>
      <c r="M200" s="174"/>
      <c r="N200" s="174"/>
      <c r="O200" s="174"/>
      <c r="P200" s="174"/>
      <c r="Q200" s="167"/>
      <c r="R200" s="168"/>
      <c r="S200" s="8" t="s">
        <v>218</v>
      </c>
    </row>
    <row r="201" spans="1:19" ht="18.75" customHeight="1" thickBot="1" x14ac:dyDescent="0.3">
      <c r="A201" s="7"/>
      <c r="B201" s="141" t="s">
        <v>219</v>
      </c>
      <c r="C201" s="142"/>
      <c r="D201" s="142"/>
      <c r="E201" s="142"/>
      <c r="F201" s="142"/>
      <c r="G201" s="143">
        <f>1748.85*12*4</f>
        <v>83944.799999999988</v>
      </c>
      <c r="H201" s="144"/>
      <c r="I201" s="8" t="s">
        <v>220</v>
      </c>
      <c r="J201" s="43"/>
      <c r="K201" s="7"/>
      <c r="L201" s="141" t="s">
        <v>219</v>
      </c>
      <c r="M201" s="142"/>
      <c r="N201" s="142"/>
      <c r="O201" s="142"/>
      <c r="P201" s="142"/>
      <c r="Q201" s="143"/>
      <c r="R201" s="144"/>
      <c r="S201" s="8" t="s">
        <v>220</v>
      </c>
    </row>
    <row r="202" spans="1:19" ht="18.75" customHeight="1" thickBot="1" x14ac:dyDescent="0.3">
      <c r="A202" s="7"/>
      <c r="B202" s="141" t="s">
        <v>221</v>
      </c>
      <c r="C202" s="142"/>
      <c r="D202" s="142"/>
      <c r="E202" s="142"/>
      <c r="F202" s="142"/>
      <c r="G202" s="143">
        <f>0.474*12*F192</f>
        <v>43432.430399999997</v>
      </c>
      <c r="H202" s="144"/>
      <c r="I202" s="8" t="s">
        <v>222</v>
      </c>
      <c r="J202" s="55"/>
      <c r="K202" s="7"/>
      <c r="L202" s="141" t="s">
        <v>221</v>
      </c>
      <c r="M202" s="142"/>
      <c r="N202" s="142"/>
      <c r="O202" s="142"/>
      <c r="P202" s="142"/>
      <c r="Q202" s="143"/>
      <c r="R202" s="144"/>
      <c r="S202" s="8" t="s">
        <v>222</v>
      </c>
    </row>
    <row r="203" spans="1:19" ht="13.5" customHeight="1" x14ac:dyDescent="0.25">
      <c r="A203" s="9"/>
      <c r="B203" s="145" t="s">
        <v>223</v>
      </c>
      <c r="C203" s="146"/>
      <c r="D203" s="146"/>
      <c r="E203" s="146"/>
      <c r="F203" s="146"/>
      <c r="G203" s="86">
        <f>1.99*12*F192</f>
        <v>182342.90400000001</v>
      </c>
      <c r="H203" s="147"/>
      <c r="I203" s="152" t="s">
        <v>224</v>
      </c>
      <c r="J203" s="56"/>
      <c r="K203" s="9"/>
      <c r="L203" s="145" t="s">
        <v>223</v>
      </c>
      <c r="M203" s="146"/>
      <c r="N203" s="146"/>
      <c r="O203" s="146"/>
      <c r="P203" s="146"/>
      <c r="Q203" s="86"/>
      <c r="R203" s="147"/>
      <c r="S203" s="152" t="s">
        <v>224</v>
      </c>
    </row>
    <row r="204" spans="1:19" ht="13.5" customHeight="1" x14ac:dyDescent="0.25">
      <c r="A204" s="10"/>
      <c r="B204" s="155" t="s">
        <v>226</v>
      </c>
      <c r="C204" s="156"/>
      <c r="D204" s="156"/>
      <c r="E204" s="156"/>
      <c r="F204" s="156"/>
      <c r="G204" s="148"/>
      <c r="H204" s="149"/>
      <c r="I204" s="153"/>
      <c r="J204" s="56"/>
      <c r="K204" s="10"/>
      <c r="L204" s="155" t="s">
        <v>226</v>
      </c>
      <c r="M204" s="156"/>
      <c r="N204" s="156"/>
      <c r="O204" s="156"/>
      <c r="P204" s="156"/>
      <c r="Q204" s="148"/>
      <c r="R204" s="149"/>
      <c r="S204" s="153"/>
    </row>
    <row r="205" spans="1:19" ht="13.5" customHeight="1" thickBot="1" x14ac:dyDescent="0.3">
      <c r="A205" s="10"/>
      <c r="B205" s="157" t="s">
        <v>227</v>
      </c>
      <c r="C205" s="158"/>
      <c r="D205" s="158"/>
      <c r="E205" s="158"/>
      <c r="F205" s="158"/>
      <c r="G205" s="148"/>
      <c r="H205" s="149"/>
      <c r="I205" s="154"/>
      <c r="J205" s="56"/>
      <c r="K205" s="10"/>
      <c r="L205" s="157" t="s">
        <v>227</v>
      </c>
      <c r="M205" s="158"/>
      <c r="N205" s="158"/>
      <c r="O205" s="158"/>
      <c r="P205" s="158"/>
      <c r="Q205" s="148"/>
      <c r="R205" s="149"/>
      <c r="S205" s="154"/>
    </row>
    <row r="206" spans="1:19" ht="13.5" customHeight="1" thickBot="1" x14ac:dyDescent="0.3">
      <c r="A206" s="10"/>
      <c r="B206" s="159" t="s">
        <v>228</v>
      </c>
      <c r="C206" s="160"/>
      <c r="D206" s="160"/>
      <c r="E206" s="160"/>
      <c r="F206" s="160"/>
      <c r="G206" s="150"/>
      <c r="H206" s="151"/>
      <c r="I206" s="11" t="s">
        <v>229</v>
      </c>
      <c r="J206" s="57"/>
      <c r="K206" s="10"/>
      <c r="L206" s="159" t="s">
        <v>228</v>
      </c>
      <c r="M206" s="160"/>
      <c r="N206" s="160"/>
      <c r="O206" s="160"/>
      <c r="P206" s="160"/>
      <c r="Q206" s="150"/>
      <c r="R206" s="151"/>
      <c r="S206" s="11" t="s">
        <v>229</v>
      </c>
    </row>
    <row r="207" spans="1:19" ht="13.5" customHeight="1" x14ac:dyDescent="0.25">
      <c r="A207" s="12"/>
      <c r="B207" s="125" t="s">
        <v>230</v>
      </c>
      <c r="C207" s="126"/>
      <c r="D207" s="126"/>
      <c r="E207" s="126"/>
      <c r="F207" s="126"/>
      <c r="G207" s="86">
        <f>0.048*12*F192</f>
        <v>4398.220800000001</v>
      </c>
      <c r="H207" s="87"/>
      <c r="I207" s="129" t="s">
        <v>220</v>
      </c>
      <c r="J207" s="43"/>
      <c r="K207" s="12"/>
      <c r="L207" s="125" t="s">
        <v>230</v>
      </c>
      <c r="M207" s="126"/>
      <c r="N207" s="126"/>
      <c r="O207" s="126"/>
      <c r="P207" s="126"/>
      <c r="Q207" s="86"/>
      <c r="R207" s="87"/>
      <c r="S207" s="129" t="s">
        <v>220</v>
      </c>
    </row>
    <row r="208" spans="1:19" ht="13.5" customHeight="1" thickBot="1" x14ac:dyDescent="0.3">
      <c r="A208" s="7"/>
      <c r="B208" s="131" t="s">
        <v>231</v>
      </c>
      <c r="C208" s="132"/>
      <c r="D208" s="132"/>
      <c r="E208" s="132"/>
      <c r="F208" s="132"/>
      <c r="G208" s="127"/>
      <c r="H208" s="128"/>
      <c r="I208" s="130"/>
      <c r="J208" s="43"/>
      <c r="K208" s="7"/>
      <c r="L208" s="131" t="s">
        <v>231</v>
      </c>
      <c r="M208" s="132"/>
      <c r="N208" s="132"/>
      <c r="O208" s="132"/>
      <c r="P208" s="132"/>
      <c r="Q208" s="127"/>
      <c r="R208" s="128"/>
      <c r="S208" s="130"/>
    </row>
    <row r="209" spans="1:19" ht="15.75" customHeight="1" thickBot="1" x14ac:dyDescent="0.3">
      <c r="A209" s="13"/>
      <c r="B209" s="133" t="s">
        <v>232</v>
      </c>
      <c r="C209" s="134"/>
      <c r="D209" s="134"/>
      <c r="E209" s="134"/>
      <c r="F209" s="134"/>
      <c r="G209" s="135"/>
      <c r="H209" s="136"/>
      <c r="I209" s="14"/>
      <c r="J209" s="43"/>
      <c r="K209" s="13"/>
      <c r="L209" s="133" t="s">
        <v>232</v>
      </c>
      <c r="M209" s="134"/>
      <c r="N209" s="134"/>
      <c r="O209" s="134"/>
      <c r="P209" s="134"/>
      <c r="Q209" s="135"/>
      <c r="R209" s="136"/>
      <c r="S209" s="14"/>
    </row>
    <row r="210" spans="1:19" ht="15.75" customHeight="1" thickBot="1" x14ac:dyDescent="0.3">
      <c r="A210" s="13"/>
      <c r="B210" s="84" t="s">
        <v>233</v>
      </c>
      <c r="C210" s="85"/>
      <c r="D210" s="85"/>
      <c r="E210" s="85"/>
      <c r="F210" s="85"/>
      <c r="G210" s="86">
        <f>1.5*12*F192</f>
        <v>137444.4</v>
      </c>
      <c r="H210" s="87"/>
      <c r="I210" s="317" t="s">
        <v>517</v>
      </c>
      <c r="J210" s="58"/>
      <c r="K210" s="13"/>
      <c r="L210" s="84" t="s">
        <v>233</v>
      </c>
      <c r="M210" s="85"/>
      <c r="N210" s="85"/>
      <c r="O210" s="85"/>
      <c r="P210" s="85"/>
      <c r="Q210" s="86"/>
      <c r="R210" s="87"/>
      <c r="S210" s="92"/>
    </row>
    <row r="211" spans="1:19" ht="40.5" customHeight="1" x14ac:dyDescent="0.25">
      <c r="A211" s="118"/>
      <c r="B211" s="121" t="s">
        <v>226</v>
      </c>
      <c r="C211" s="122"/>
      <c r="D211" s="122"/>
      <c r="E211" s="122"/>
      <c r="F211" s="122"/>
      <c r="G211" s="88"/>
      <c r="H211" s="89"/>
      <c r="I211" s="318"/>
      <c r="J211" s="41"/>
      <c r="K211" s="118"/>
      <c r="L211" s="121" t="s">
        <v>226</v>
      </c>
      <c r="M211" s="122"/>
      <c r="N211" s="122"/>
      <c r="O211" s="122"/>
      <c r="P211" s="122"/>
      <c r="Q211" s="88"/>
      <c r="R211" s="89"/>
      <c r="S211" s="93"/>
    </row>
    <row r="212" spans="1:19" ht="44.25" customHeight="1" x14ac:dyDescent="0.25">
      <c r="A212" s="119"/>
      <c r="B212" s="121" t="s">
        <v>227</v>
      </c>
      <c r="C212" s="122"/>
      <c r="D212" s="122"/>
      <c r="E212" s="122"/>
      <c r="F212" s="122"/>
      <c r="G212" s="88"/>
      <c r="H212" s="89"/>
      <c r="I212" s="318"/>
      <c r="J212" s="41"/>
      <c r="K212" s="119"/>
      <c r="L212" s="121" t="s">
        <v>227</v>
      </c>
      <c r="M212" s="122"/>
      <c r="N212" s="122"/>
      <c r="O212" s="122"/>
      <c r="P212" s="122"/>
      <c r="Q212" s="88"/>
      <c r="R212" s="89"/>
      <c r="S212" s="93"/>
    </row>
    <row r="213" spans="1:19" ht="46.5" customHeight="1" x14ac:dyDescent="0.25">
      <c r="A213" s="119"/>
      <c r="B213" s="121" t="s">
        <v>228</v>
      </c>
      <c r="C213" s="122"/>
      <c r="D213" s="122"/>
      <c r="E213" s="122"/>
      <c r="F213" s="122"/>
      <c r="G213" s="88"/>
      <c r="H213" s="89"/>
      <c r="I213" s="318"/>
      <c r="J213" s="41"/>
      <c r="K213" s="119"/>
      <c r="L213" s="121" t="s">
        <v>228</v>
      </c>
      <c r="M213" s="122"/>
      <c r="N213" s="122"/>
      <c r="O213" s="122"/>
      <c r="P213" s="122"/>
      <c r="Q213" s="88"/>
      <c r="R213" s="89"/>
      <c r="S213" s="93"/>
    </row>
    <row r="214" spans="1:19" ht="69" customHeight="1" thickBot="1" x14ac:dyDescent="0.3">
      <c r="A214" s="120"/>
      <c r="B214" s="123" t="s">
        <v>234</v>
      </c>
      <c r="C214" s="124"/>
      <c r="D214" s="124"/>
      <c r="E214" s="124"/>
      <c r="F214" s="124"/>
      <c r="G214" s="90"/>
      <c r="H214" s="91"/>
      <c r="I214" s="319"/>
      <c r="J214" s="41"/>
      <c r="K214" s="120"/>
      <c r="L214" s="123" t="s">
        <v>234</v>
      </c>
      <c r="M214" s="124"/>
      <c r="N214" s="124"/>
      <c r="O214" s="124"/>
      <c r="P214" s="124"/>
      <c r="Q214" s="90"/>
      <c r="R214" s="91"/>
      <c r="S214" s="94"/>
    </row>
    <row r="215" spans="1:19" ht="0.75" hidden="1" customHeight="1" x14ac:dyDescent="0.25">
      <c r="A215" s="15"/>
      <c r="B215" s="137"/>
      <c r="C215" s="138"/>
      <c r="D215" s="138"/>
      <c r="E215" s="138"/>
      <c r="F215" s="138"/>
      <c r="G215" s="139"/>
      <c r="H215" s="140"/>
      <c r="I215" s="16"/>
      <c r="J215" s="42"/>
      <c r="K215" s="15"/>
      <c r="L215" s="137"/>
      <c r="M215" s="138"/>
      <c r="N215" s="138"/>
      <c r="O215" s="138"/>
      <c r="P215" s="138"/>
      <c r="Q215" s="139"/>
      <c r="R215" s="140"/>
      <c r="S215" s="16"/>
    </row>
    <row r="216" spans="1:19" ht="28.5" hidden="1" customHeight="1" x14ac:dyDescent="0.25">
      <c r="A216" s="15"/>
      <c r="B216" s="137" t="s">
        <v>235</v>
      </c>
      <c r="C216" s="138"/>
      <c r="D216" s="138"/>
      <c r="E216" s="138"/>
      <c r="F216" s="138"/>
      <c r="G216" s="139"/>
      <c r="H216" s="140"/>
      <c r="I216" s="16"/>
      <c r="J216" s="43"/>
      <c r="K216" s="15"/>
      <c r="L216" s="137" t="s">
        <v>235</v>
      </c>
      <c r="M216" s="138"/>
      <c r="N216" s="138"/>
      <c r="O216" s="138"/>
      <c r="P216" s="138"/>
      <c r="Q216" s="139"/>
      <c r="R216" s="140"/>
      <c r="S216" s="16"/>
    </row>
    <row r="217" spans="1:19" ht="30.75" customHeight="1" thickBot="1" x14ac:dyDescent="0.3">
      <c r="A217" s="17"/>
      <c r="B217" s="78" t="s">
        <v>237</v>
      </c>
      <c r="C217" s="79"/>
      <c r="D217" s="79"/>
      <c r="E217" s="79"/>
      <c r="F217" s="79"/>
      <c r="G217" s="86">
        <v>8727</v>
      </c>
      <c r="H217" s="87"/>
      <c r="I217" s="108" t="s">
        <v>229</v>
      </c>
      <c r="J217" s="59"/>
      <c r="K217" s="17"/>
      <c r="L217" s="78" t="s">
        <v>237</v>
      </c>
      <c r="M217" s="79"/>
      <c r="N217" s="79"/>
      <c r="O217" s="79"/>
      <c r="P217" s="79"/>
      <c r="Q217" s="86"/>
      <c r="R217" s="87"/>
      <c r="S217" s="108" t="s">
        <v>229</v>
      </c>
    </row>
    <row r="218" spans="1:19" ht="15.75" customHeight="1" thickBot="1" x14ac:dyDescent="0.3">
      <c r="A218" s="18"/>
      <c r="B218" s="110" t="s">
        <v>238</v>
      </c>
      <c r="C218" s="111"/>
      <c r="D218" s="111"/>
      <c r="E218" s="111"/>
      <c r="F218" s="111"/>
      <c r="G218" s="90"/>
      <c r="H218" s="91"/>
      <c r="I218" s="109"/>
      <c r="J218" s="59"/>
      <c r="K218" s="18"/>
      <c r="L218" s="110" t="s">
        <v>238</v>
      </c>
      <c r="M218" s="111"/>
      <c r="N218" s="111"/>
      <c r="O218" s="111"/>
      <c r="P218" s="111"/>
      <c r="Q218" s="90"/>
      <c r="R218" s="91"/>
      <c r="S218" s="109"/>
    </row>
    <row r="219" spans="1:19" ht="18" customHeight="1" thickBot="1" x14ac:dyDescent="0.3">
      <c r="A219" s="19"/>
      <c r="B219" s="112" t="s">
        <v>239</v>
      </c>
      <c r="C219" s="113"/>
      <c r="D219" s="113"/>
      <c r="E219" s="113"/>
      <c r="F219" s="113"/>
      <c r="G219" s="114">
        <f>SUM(G198:H218)</f>
        <v>599566.7472000001</v>
      </c>
      <c r="H219" s="115"/>
      <c r="I219" s="20"/>
      <c r="J219" s="58"/>
      <c r="K219" s="19"/>
      <c r="L219" s="112" t="s">
        <v>239</v>
      </c>
      <c r="M219" s="113"/>
      <c r="N219" s="113"/>
      <c r="O219" s="113"/>
      <c r="P219" s="113"/>
      <c r="Q219" s="114">
        <v>0</v>
      </c>
      <c r="R219" s="115"/>
      <c r="S219" s="20"/>
    </row>
    <row r="220" spans="1:19" ht="20.25" customHeight="1" thickBot="1" x14ac:dyDescent="0.3">
      <c r="A220" s="21"/>
      <c r="B220" s="101" t="s">
        <v>240</v>
      </c>
      <c r="C220" s="102"/>
      <c r="D220" s="102"/>
      <c r="E220" s="102"/>
      <c r="F220" s="102"/>
      <c r="G220" s="116">
        <f>G219*1.2</f>
        <v>719480.09664000012</v>
      </c>
      <c r="H220" s="117"/>
      <c r="I220" s="22"/>
      <c r="J220" s="45"/>
      <c r="K220" s="21"/>
      <c r="L220" s="101" t="s">
        <v>240</v>
      </c>
      <c r="M220" s="102"/>
      <c r="N220" s="102"/>
      <c r="O220" s="102"/>
      <c r="P220" s="102"/>
      <c r="Q220" s="116">
        <v>0</v>
      </c>
      <c r="R220" s="117"/>
      <c r="S220" s="22"/>
    </row>
    <row r="221" spans="1:19" ht="20.25" customHeight="1" thickBot="1" x14ac:dyDescent="0.3">
      <c r="A221" s="24"/>
      <c r="B221" s="96" t="s">
        <v>443</v>
      </c>
      <c r="C221" s="97"/>
      <c r="D221" s="97"/>
      <c r="E221" s="97"/>
      <c r="F221" s="97"/>
      <c r="G221" s="295">
        <v>719131.63</v>
      </c>
      <c r="H221" s="296"/>
      <c r="I221" s="297"/>
      <c r="J221" s="41"/>
      <c r="K221" s="24"/>
      <c r="L221" s="96" t="s">
        <v>302</v>
      </c>
      <c r="M221" s="97"/>
      <c r="N221" s="97"/>
      <c r="O221" s="97"/>
      <c r="P221" s="97"/>
      <c r="Q221" s="295"/>
      <c r="R221" s="296"/>
      <c r="S221" s="297"/>
    </row>
    <row r="222" spans="1:19" ht="20.25" customHeight="1" thickBot="1" x14ac:dyDescent="0.3">
      <c r="A222" s="19"/>
      <c r="B222" s="101" t="s">
        <v>242</v>
      </c>
      <c r="C222" s="102"/>
      <c r="D222" s="102"/>
      <c r="E222" s="102"/>
      <c r="F222" s="102"/>
      <c r="G222" s="116">
        <v>696675.77</v>
      </c>
      <c r="H222" s="298"/>
      <c r="I222" s="214"/>
      <c r="J222" s="41"/>
      <c r="K222" s="19"/>
      <c r="L222" s="101" t="s">
        <v>242</v>
      </c>
      <c r="M222" s="102"/>
      <c r="N222" s="102"/>
      <c r="O222" s="102"/>
      <c r="P222" s="102"/>
      <c r="Q222" s="116"/>
      <c r="R222" s="298"/>
      <c r="S222" s="214"/>
    </row>
    <row r="223" spans="1:19" ht="20.25" customHeight="1" thickBot="1" x14ac:dyDescent="0.3">
      <c r="A223" s="19"/>
      <c r="B223" s="106" t="s">
        <v>444</v>
      </c>
      <c r="C223" s="107"/>
      <c r="D223" s="107"/>
      <c r="E223" s="107"/>
      <c r="F223" s="107"/>
      <c r="G223" s="116">
        <v>130256.91</v>
      </c>
      <c r="H223" s="298"/>
      <c r="I223" s="214"/>
      <c r="J223" s="64"/>
      <c r="K223" s="19"/>
      <c r="L223" s="106" t="s">
        <v>303</v>
      </c>
      <c r="M223" s="107"/>
      <c r="N223" s="107"/>
      <c r="O223" s="107"/>
      <c r="P223" s="107"/>
      <c r="Q223" s="116"/>
      <c r="R223" s="298"/>
      <c r="S223" s="214"/>
    </row>
    <row r="224" spans="1:19" ht="27" customHeight="1" x14ac:dyDescent="0.25">
      <c r="A224" s="4"/>
      <c r="B224" s="310"/>
      <c r="C224" s="310"/>
      <c r="D224" s="310"/>
      <c r="E224" s="310"/>
      <c r="F224" s="310"/>
      <c r="G224" s="310"/>
      <c r="H224" s="310"/>
      <c r="I224" s="310"/>
      <c r="K224" s="4"/>
      <c r="L224" s="26"/>
      <c r="M224" s="26"/>
      <c r="N224" s="26"/>
      <c r="O224" s="26"/>
      <c r="P224" s="26"/>
      <c r="Q224" s="27"/>
      <c r="R224" s="3"/>
      <c r="S224" s="3"/>
    </row>
    <row r="225" spans="1:19" ht="15.75" x14ac:dyDescent="0.25">
      <c r="A225" s="3"/>
      <c r="C225" s="30"/>
      <c r="K225" s="3"/>
      <c r="M225" s="30"/>
    </row>
    <row r="226" spans="1:19" ht="15.75" x14ac:dyDescent="0.25">
      <c r="A226" s="30"/>
      <c r="C226" s="30"/>
      <c r="K226" s="30"/>
      <c r="M226" s="30"/>
    </row>
    <row r="228" spans="1:19" x14ac:dyDescent="0.25">
      <c r="A228" s="3"/>
      <c r="B228" s="3"/>
      <c r="C228" s="3"/>
      <c r="D228" s="3"/>
      <c r="E228" s="4" t="s">
        <v>204</v>
      </c>
      <c r="F228" s="3"/>
      <c r="G228" s="3"/>
      <c r="H228" s="3"/>
      <c r="I228" s="3"/>
      <c r="K228" s="3"/>
      <c r="L228" s="3"/>
      <c r="M228" s="3"/>
      <c r="N228" s="3"/>
      <c r="O228" s="4" t="s">
        <v>204</v>
      </c>
      <c r="P228" s="3"/>
      <c r="Q228" s="3"/>
      <c r="R228" s="3"/>
      <c r="S228" s="3"/>
    </row>
    <row r="229" spans="1:19" x14ac:dyDescent="0.25">
      <c r="A229" s="3" t="s">
        <v>205</v>
      </c>
      <c r="B229" s="3"/>
      <c r="C229" s="3"/>
      <c r="D229" s="3" t="s">
        <v>304</v>
      </c>
      <c r="E229" s="3"/>
      <c r="F229" s="3"/>
      <c r="G229" s="3"/>
      <c r="H229" s="3"/>
      <c r="I229" s="3"/>
      <c r="K229" s="3" t="s">
        <v>205</v>
      </c>
      <c r="L229" s="3"/>
      <c r="M229" s="3"/>
      <c r="N229" s="3" t="s">
        <v>305</v>
      </c>
      <c r="O229" s="3"/>
      <c r="P229" s="3"/>
      <c r="Q229" s="3"/>
      <c r="R229" s="3"/>
      <c r="S229" s="3"/>
    </row>
    <row r="230" spans="1:19" x14ac:dyDescent="0.25">
      <c r="A230" s="3"/>
      <c r="B230" s="5" t="s">
        <v>440</v>
      </c>
      <c r="C230" s="3"/>
      <c r="D230" s="3"/>
      <c r="E230" s="3"/>
      <c r="F230" s="3"/>
      <c r="G230" s="3"/>
      <c r="H230" s="3"/>
      <c r="I230" s="3"/>
      <c r="K230" s="3"/>
      <c r="L230" s="5" t="s">
        <v>440</v>
      </c>
      <c r="M230" s="3"/>
      <c r="N230" s="3"/>
      <c r="O230" s="3"/>
      <c r="P230" s="3"/>
      <c r="Q230" s="3"/>
      <c r="R230" s="3"/>
      <c r="S230" s="3"/>
    </row>
    <row r="231" spans="1:19" x14ac:dyDescent="0.25">
      <c r="A231" s="3"/>
      <c r="B231" s="5" t="s">
        <v>206</v>
      </c>
      <c r="C231" s="3"/>
      <c r="D231" s="3"/>
      <c r="E231" s="3"/>
      <c r="F231" s="3">
        <v>5931.3</v>
      </c>
      <c r="G231" s="3" t="s">
        <v>207</v>
      </c>
      <c r="H231" s="3"/>
      <c r="I231" s="3"/>
      <c r="K231" s="3"/>
      <c r="L231" s="5" t="s">
        <v>206</v>
      </c>
      <c r="M231" s="3"/>
      <c r="N231" s="3"/>
      <c r="O231" s="3"/>
      <c r="P231" s="3">
        <v>7132.7</v>
      </c>
      <c r="Q231" s="3" t="s">
        <v>207</v>
      </c>
      <c r="R231" s="3"/>
      <c r="S231" s="3"/>
    </row>
    <row r="232" spans="1:19" ht="15.75" thickBot="1" x14ac:dyDescent="0.3">
      <c r="A232" s="3"/>
      <c r="B232" s="3"/>
      <c r="C232" s="3"/>
      <c r="D232" s="4"/>
      <c r="E232" s="4"/>
      <c r="F232" s="3"/>
      <c r="G232" s="3"/>
      <c r="H232" s="3"/>
      <c r="I232" s="3"/>
      <c r="K232" s="3"/>
      <c r="L232" s="3"/>
      <c r="M232" s="3"/>
      <c r="N232" s="4"/>
      <c r="O232" s="4"/>
      <c r="P232" s="3"/>
      <c r="Q232" s="3"/>
      <c r="R232" s="3"/>
      <c r="S232" s="3"/>
    </row>
    <row r="233" spans="1:19" ht="15" customHeight="1" x14ac:dyDescent="0.25">
      <c r="A233" s="175" t="s">
        <v>209</v>
      </c>
      <c r="B233" s="177" t="s">
        <v>210</v>
      </c>
      <c r="C233" s="178"/>
      <c r="D233" s="178"/>
      <c r="E233" s="178"/>
      <c r="F233" s="178"/>
      <c r="G233" s="180" t="s">
        <v>442</v>
      </c>
      <c r="H233" s="181"/>
      <c r="I233" s="175" t="s">
        <v>212</v>
      </c>
      <c r="K233" s="175" t="s">
        <v>209</v>
      </c>
      <c r="L233" s="177" t="s">
        <v>210</v>
      </c>
      <c r="M233" s="178"/>
      <c r="N233" s="178"/>
      <c r="O233" s="178"/>
      <c r="P233" s="178"/>
      <c r="Q233" s="180" t="s">
        <v>442</v>
      </c>
      <c r="R233" s="181"/>
      <c r="S233" s="175" t="s">
        <v>212</v>
      </c>
    </row>
    <row r="234" spans="1:19" ht="54" customHeight="1" thickBot="1" x14ac:dyDescent="0.3">
      <c r="A234" s="176"/>
      <c r="B234" s="179"/>
      <c r="C234" s="179"/>
      <c r="D234" s="179"/>
      <c r="E234" s="179"/>
      <c r="F234" s="179"/>
      <c r="G234" s="182"/>
      <c r="H234" s="183"/>
      <c r="I234" s="184"/>
      <c r="K234" s="176"/>
      <c r="L234" s="179"/>
      <c r="M234" s="179"/>
      <c r="N234" s="179"/>
      <c r="O234" s="179"/>
      <c r="P234" s="179"/>
      <c r="Q234" s="182"/>
      <c r="R234" s="183"/>
      <c r="S234" s="184"/>
    </row>
    <row r="235" spans="1:19" ht="15" customHeight="1" x14ac:dyDescent="0.25">
      <c r="A235" s="185" t="s">
        <v>213</v>
      </c>
      <c r="B235" s="187" t="s">
        <v>354</v>
      </c>
      <c r="C235" s="188"/>
      <c r="D235" s="188"/>
      <c r="E235" s="188"/>
      <c r="F235" s="188"/>
      <c r="G235" s="190">
        <v>106316.82</v>
      </c>
      <c r="H235" s="191"/>
      <c r="I235" s="192"/>
      <c r="K235" s="185" t="s">
        <v>213</v>
      </c>
      <c r="L235" s="187" t="s">
        <v>354</v>
      </c>
      <c r="M235" s="188"/>
      <c r="N235" s="188"/>
      <c r="O235" s="188"/>
      <c r="P235" s="188"/>
      <c r="Q235" s="190">
        <v>216228.26</v>
      </c>
      <c r="R235" s="191"/>
      <c r="S235" s="192"/>
    </row>
    <row r="236" spans="1:19" ht="15.75" thickBot="1" x14ac:dyDescent="0.3">
      <c r="A236" s="186"/>
      <c r="B236" s="189"/>
      <c r="C236" s="189"/>
      <c r="D236" s="189"/>
      <c r="E236" s="189"/>
      <c r="F236" s="189"/>
      <c r="G236" s="193"/>
      <c r="H236" s="194"/>
      <c r="I236" s="128"/>
      <c r="K236" s="186"/>
      <c r="L236" s="189"/>
      <c r="M236" s="189"/>
      <c r="N236" s="189"/>
      <c r="O236" s="189"/>
      <c r="P236" s="189"/>
      <c r="Q236" s="193"/>
      <c r="R236" s="194"/>
      <c r="S236" s="128"/>
    </row>
    <row r="237" spans="1:19" x14ac:dyDescent="0.25">
      <c r="A237" s="6"/>
      <c r="B237" s="161" t="s">
        <v>214</v>
      </c>
      <c r="C237" s="162"/>
      <c r="D237" s="162"/>
      <c r="E237" s="162"/>
      <c r="F237" s="162"/>
      <c r="G237" s="163">
        <f>1.49*12*F231</f>
        <v>106051.644</v>
      </c>
      <c r="H237" s="164"/>
      <c r="I237" s="169" t="s">
        <v>215</v>
      </c>
      <c r="K237" s="6"/>
      <c r="L237" s="161" t="s">
        <v>214</v>
      </c>
      <c r="M237" s="162"/>
      <c r="N237" s="162"/>
      <c r="O237" s="162"/>
      <c r="P237" s="162"/>
      <c r="Q237" s="163">
        <f>1.48*12*P231</f>
        <v>126676.75199999998</v>
      </c>
      <c r="R237" s="164"/>
      <c r="S237" s="169" t="s">
        <v>215</v>
      </c>
    </row>
    <row r="238" spans="1:19" ht="31.5" customHeight="1" thickBot="1" x14ac:dyDescent="0.3">
      <c r="A238" s="7"/>
      <c r="B238" s="171" t="s">
        <v>216</v>
      </c>
      <c r="C238" s="172"/>
      <c r="D238" s="172"/>
      <c r="E238" s="172"/>
      <c r="F238" s="172"/>
      <c r="G238" s="165"/>
      <c r="H238" s="166"/>
      <c r="I238" s="170"/>
      <c r="K238" s="7"/>
      <c r="L238" s="171" t="s">
        <v>216</v>
      </c>
      <c r="M238" s="172"/>
      <c r="N238" s="172"/>
      <c r="O238" s="172"/>
      <c r="P238" s="172"/>
      <c r="Q238" s="165"/>
      <c r="R238" s="166"/>
      <c r="S238" s="170"/>
    </row>
    <row r="239" spans="1:19" ht="15.75" thickBot="1" x14ac:dyDescent="0.3">
      <c r="A239" s="7"/>
      <c r="B239" s="173" t="s">
        <v>217</v>
      </c>
      <c r="C239" s="174"/>
      <c r="D239" s="174"/>
      <c r="E239" s="174"/>
      <c r="F239" s="174"/>
      <c r="G239" s="167"/>
      <c r="H239" s="168"/>
      <c r="I239" s="8" t="s">
        <v>218</v>
      </c>
      <c r="K239" s="7"/>
      <c r="L239" s="173" t="s">
        <v>217</v>
      </c>
      <c r="M239" s="174"/>
      <c r="N239" s="174"/>
      <c r="O239" s="174"/>
      <c r="P239" s="174"/>
      <c r="Q239" s="167"/>
      <c r="R239" s="168"/>
      <c r="S239" s="8" t="s">
        <v>218</v>
      </c>
    </row>
    <row r="240" spans="1:19" ht="15.75" thickBot="1" x14ac:dyDescent="0.3">
      <c r="A240" s="7"/>
      <c r="B240" s="141" t="s">
        <v>219</v>
      </c>
      <c r="C240" s="142"/>
      <c r="D240" s="142"/>
      <c r="E240" s="142"/>
      <c r="F240" s="142"/>
      <c r="G240" s="143">
        <f>1748.85*3*12</f>
        <v>62958.599999999991</v>
      </c>
      <c r="H240" s="144"/>
      <c r="I240" s="8" t="s">
        <v>220</v>
      </c>
      <c r="K240" s="7"/>
      <c r="L240" s="141" t="s">
        <v>219</v>
      </c>
      <c r="M240" s="142"/>
      <c r="N240" s="142"/>
      <c r="O240" s="142"/>
      <c r="P240" s="142"/>
      <c r="Q240" s="143">
        <f>1748.85*4*12</f>
        <v>83944.799999999988</v>
      </c>
      <c r="R240" s="144"/>
      <c r="S240" s="8" t="s">
        <v>220</v>
      </c>
    </row>
    <row r="241" spans="1:19" ht="15.75" thickBot="1" x14ac:dyDescent="0.3">
      <c r="A241" s="7"/>
      <c r="B241" s="141" t="s">
        <v>221</v>
      </c>
      <c r="C241" s="142"/>
      <c r="D241" s="142"/>
      <c r="E241" s="142"/>
      <c r="F241" s="142"/>
      <c r="G241" s="143">
        <f>0.474*12*F231</f>
        <v>33737.234400000001</v>
      </c>
      <c r="H241" s="144"/>
      <c r="I241" s="8" t="s">
        <v>222</v>
      </c>
      <c r="K241" s="7"/>
      <c r="L241" s="141" t="s">
        <v>221</v>
      </c>
      <c r="M241" s="142"/>
      <c r="N241" s="142"/>
      <c r="O241" s="142"/>
      <c r="P241" s="142"/>
      <c r="Q241" s="143">
        <f>0.474*12*P231</f>
        <v>40570.797599999998</v>
      </c>
      <c r="R241" s="144"/>
      <c r="S241" s="8" t="s">
        <v>222</v>
      </c>
    </row>
    <row r="242" spans="1:19" x14ac:dyDescent="0.25">
      <c r="A242" s="9"/>
      <c r="B242" s="145" t="s">
        <v>223</v>
      </c>
      <c r="C242" s="146"/>
      <c r="D242" s="146"/>
      <c r="E242" s="146"/>
      <c r="F242" s="146"/>
      <c r="G242" s="86">
        <f>1.89*12*F231</f>
        <v>134521.88399999999</v>
      </c>
      <c r="H242" s="147"/>
      <c r="I242" s="152" t="s">
        <v>224</v>
      </c>
      <c r="K242" s="9"/>
      <c r="L242" s="145" t="s">
        <v>223</v>
      </c>
      <c r="M242" s="146"/>
      <c r="N242" s="146"/>
      <c r="O242" s="146"/>
      <c r="P242" s="146"/>
      <c r="Q242" s="86">
        <f>1.982*12*P231</f>
        <v>169644.13679999998</v>
      </c>
      <c r="R242" s="147"/>
      <c r="S242" s="152" t="s">
        <v>224</v>
      </c>
    </row>
    <row r="243" spans="1:19" x14ac:dyDescent="0.25">
      <c r="A243" s="10"/>
      <c r="B243" s="155" t="s">
        <v>226</v>
      </c>
      <c r="C243" s="156"/>
      <c r="D243" s="156"/>
      <c r="E243" s="156"/>
      <c r="F243" s="156"/>
      <c r="G243" s="148"/>
      <c r="H243" s="149"/>
      <c r="I243" s="153"/>
      <c r="K243" s="10"/>
      <c r="L243" s="155" t="s">
        <v>226</v>
      </c>
      <c r="M243" s="156"/>
      <c r="N243" s="156"/>
      <c r="O243" s="156"/>
      <c r="P243" s="156"/>
      <c r="Q243" s="148"/>
      <c r="R243" s="149"/>
      <c r="S243" s="153"/>
    </row>
    <row r="244" spans="1:19" ht="15.75" thickBot="1" x14ac:dyDescent="0.3">
      <c r="A244" s="10"/>
      <c r="B244" s="157" t="s">
        <v>227</v>
      </c>
      <c r="C244" s="158"/>
      <c r="D244" s="158"/>
      <c r="E244" s="158"/>
      <c r="F244" s="158"/>
      <c r="G244" s="148"/>
      <c r="H244" s="149"/>
      <c r="I244" s="154"/>
      <c r="K244" s="10"/>
      <c r="L244" s="157" t="s">
        <v>227</v>
      </c>
      <c r="M244" s="158"/>
      <c r="N244" s="158"/>
      <c r="O244" s="158"/>
      <c r="P244" s="158"/>
      <c r="Q244" s="148"/>
      <c r="R244" s="149"/>
      <c r="S244" s="154"/>
    </row>
    <row r="245" spans="1:19" ht="15.75" thickBot="1" x14ac:dyDescent="0.3">
      <c r="A245" s="10"/>
      <c r="B245" s="159" t="s">
        <v>228</v>
      </c>
      <c r="C245" s="160"/>
      <c r="D245" s="160"/>
      <c r="E245" s="160"/>
      <c r="F245" s="160"/>
      <c r="G245" s="150"/>
      <c r="H245" s="151"/>
      <c r="I245" s="11" t="s">
        <v>229</v>
      </c>
      <c r="K245" s="10"/>
      <c r="L245" s="159" t="s">
        <v>228</v>
      </c>
      <c r="M245" s="160"/>
      <c r="N245" s="160"/>
      <c r="O245" s="160"/>
      <c r="P245" s="160"/>
      <c r="Q245" s="150"/>
      <c r="R245" s="151"/>
      <c r="S245" s="11" t="s">
        <v>229</v>
      </c>
    </row>
    <row r="246" spans="1:19" x14ac:dyDescent="0.25">
      <c r="A246" s="12"/>
      <c r="B246" s="125" t="s">
        <v>230</v>
      </c>
      <c r="C246" s="126"/>
      <c r="D246" s="126"/>
      <c r="E246" s="126"/>
      <c r="F246" s="126"/>
      <c r="G246" s="86">
        <f>0.048*12*F231</f>
        <v>3416.4288000000006</v>
      </c>
      <c r="H246" s="87"/>
      <c r="I246" s="129" t="s">
        <v>220</v>
      </c>
      <c r="K246" s="12"/>
      <c r="L246" s="125" t="s">
        <v>230</v>
      </c>
      <c r="M246" s="126"/>
      <c r="N246" s="126"/>
      <c r="O246" s="126"/>
      <c r="P246" s="126"/>
      <c r="Q246" s="86">
        <f>0.048*12*P231</f>
        <v>4108.4352000000008</v>
      </c>
      <c r="R246" s="87"/>
      <c r="S246" s="129" t="s">
        <v>220</v>
      </c>
    </row>
    <row r="247" spans="1:19" ht="15.75" thickBot="1" x14ac:dyDescent="0.3">
      <c r="A247" s="7"/>
      <c r="B247" s="131" t="s">
        <v>231</v>
      </c>
      <c r="C247" s="132"/>
      <c r="D247" s="132"/>
      <c r="E247" s="132"/>
      <c r="F247" s="132"/>
      <c r="G247" s="127"/>
      <c r="H247" s="128"/>
      <c r="I247" s="130"/>
      <c r="K247" s="7"/>
      <c r="L247" s="131" t="s">
        <v>231</v>
      </c>
      <c r="M247" s="132"/>
      <c r="N247" s="132"/>
      <c r="O247" s="132"/>
      <c r="P247" s="132"/>
      <c r="Q247" s="127"/>
      <c r="R247" s="128"/>
      <c r="S247" s="130"/>
    </row>
    <row r="248" spans="1:19" ht="15.75" thickBot="1" x14ac:dyDescent="0.3">
      <c r="A248" s="13"/>
      <c r="B248" s="133" t="s">
        <v>232</v>
      </c>
      <c r="C248" s="134"/>
      <c r="D248" s="134"/>
      <c r="E248" s="134"/>
      <c r="F248" s="134"/>
      <c r="G248" s="135"/>
      <c r="H248" s="136"/>
      <c r="I248" s="14"/>
      <c r="K248" s="13"/>
      <c r="L248" s="133" t="s">
        <v>232</v>
      </c>
      <c r="M248" s="134"/>
      <c r="N248" s="134"/>
      <c r="O248" s="134"/>
      <c r="P248" s="134"/>
      <c r="Q248" s="135"/>
      <c r="R248" s="136"/>
      <c r="S248" s="14"/>
    </row>
    <row r="249" spans="1:19" ht="40.5" customHeight="1" thickBot="1" x14ac:dyDescent="0.3">
      <c r="A249" s="13"/>
      <c r="B249" s="84" t="s">
        <v>233</v>
      </c>
      <c r="C249" s="85"/>
      <c r="D249" s="85"/>
      <c r="E249" s="85"/>
      <c r="F249" s="85"/>
      <c r="G249" s="86">
        <f>1.41*12*F231</f>
        <v>100357.59599999999</v>
      </c>
      <c r="H249" s="87"/>
      <c r="I249" s="317" t="s">
        <v>518</v>
      </c>
      <c r="K249" s="13"/>
      <c r="L249" s="84" t="s">
        <v>233</v>
      </c>
      <c r="M249" s="85"/>
      <c r="N249" s="85"/>
      <c r="O249" s="85"/>
      <c r="P249" s="85"/>
      <c r="Q249" s="86">
        <f>1.33*12*P231</f>
        <v>113837.89200000001</v>
      </c>
      <c r="R249" s="87"/>
      <c r="S249" s="317" t="s">
        <v>519</v>
      </c>
    </row>
    <row r="250" spans="1:19" ht="40.5" customHeight="1" x14ac:dyDescent="0.25">
      <c r="A250" s="118"/>
      <c r="B250" s="121" t="s">
        <v>226</v>
      </c>
      <c r="C250" s="122"/>
      <c r="D250" s="122"/>
      <c r="E250" s="122"/>
      <c r="F250" s="122"/>
      <c r="G250" s="88"/>
      <c r="H250" s="89"/>
      <c r="I250" s="318"/>
      <c r="K250" s="118"/>
      <c r="L250" s="121" t="s">
        <v>226</v>
      </c>
      <c r="M250" s="122"/>
      <c r="N250" s="122"/>
      <c r="O250" s="122"/>
      <c r="P250" s="122"/>
      <c r="Q250" s="88"/>
      <c r="R250" s="89"/>
      <c r="S250" s="318"/>
    </row>
    <row r="251" spans="1:19" ht="49.5" customHeight="1" x14ac:dyDescent="0.25">
      <c r="A251" s="119"/>
      <c r="B251" s="121" t="s">
        <v>227</v>
      </c>
      <c r="C251" s="122"/>
      <c r="D251" s="122"/>
      <c r="E251" s="122"/>
      <c r="F251" s="122"/>
      <c r="G251" s="88"/>
      <c r="H251" s="89"/>
      <c r="I251" s="318"/>
      <c r="K251" s="119"/>
      <c r="L251" s="121" t="s">
        <v>227</v>
      </c>
      <c r="M251" s="122"/>
      <c r="N251" s="122"/>
      <c r="O251" s="122"/>
      <c r="P251" s="122"/>
      <c r="Q251" s="88"/>
      <c r="R251" s="89"/>
      <c r="S251" s="318"/>
    </row>
    <row r="252" spans="1:19" ht="58.5" customHeight="1" x14ac:dyDescent="0.25">
      <c r="A252" s="119"/>
      <c r="B252" s="121" t="s">
        <v>228</v>
      </c>
      <c r="C252" s="122"/>
      <c r="D252" s="122"/>
      <c r="E252" s="122"/>
      <c r="F252" s="122"/>
      <c r="G252" s="88"/>
      <c r="H252" s="89"/>
      <c r="I252" s="318"/>
      <c r="K252" s="119"/>
      <c r="L252" s="121" t="s">
        <v>228</v>
      </c>
      <c r="M252" s="122"/>
      <c r="N252" s="122"/>
      <c r="O252" s="122"/>
      <c r="P252" s="122"/>
      <c r="Q252" s="88"/>
      <c r="R252" s="89"/>
      <c r="S252" s="318"/>
    </row>
    <row r="253" spans="1:19" ht="107.25" customHeight="1" thickBot="1" x14ac:dyDescent="0.3">
      <c r="A253" s="120"/>
      <c r="B253" s="123" t="s">
        <v>234</v>
      </c>
      <c r="C253" s="124"/>
      <c r="D253" s="124"/>
      <c r="E253" s="124"/>
      <c r="F253" s="124"/>
      <c r="G253" s="90"/>
      <c r="H253" s="91"/>
      <c r="I253" s="319"/>
      <c r="K253" s="120"/>
      <c r="L253" s="123" t="s">
        <v>234</v>
      </c>
      <c r="M253" s="124"/>
      <c r="N253" s="124"/>
      <c r="O253" s="124"/>
      <c r="P253" s="124"/>
      <c r="Q253" s="90"/>
      <c r="R253" s="91"/>
      <c r="S253" s="319"/>
    </row>
    <row r="254" spans="1:19" ht="15" customHeight="1" thickBot="1" x14ac:dyDescent="0.3">
      <c r="A254" s="15"/>
      <c r="B254" s="137"/>
      <c r="C254" s="138"/>
      <c r="D254" s="138"/>
      <c r="E254" s="138"/>
      <c r="F254" s="138"/>
      <c r="G254" s="139"/>
      <c r="H254" s="140"/>
      <c r="I254" s="16"/>
      <c r="K254" s="15"/>
      <c r="L254" s="137"/>
      <c r="M254" s="138"/>
      <c r="N254" s="138"/>
      <c r="O254" s="138"/>
      <c r="P254" s="138"/>
      <c r="Q254" s="139"/>
      <c r="R254" s="140"/>
      <c r="S254" s="16"/>
    </row>
    <row r="255" spans="1:19" ht="28.5" hidden="1" customHeight="1" x14ac:dyDescent="0.25">
      <c r="A255" s="15"/>
      <c r="B255" s="137" t="s">
        <v>235</v>
      </c>
      <c r="C255" s="138"/>
      <c r="D255" s="138"/>
      <c r="E255" s="138"/>
      <c r="F255" s="138"/>
      <c r="G255" s="139"/>
      <c r="H255" s="140"/>
      <c r="I255" s="16"/>
      <c r="K255" s="15"/>
      <c r="L255" s="137" t="s">
        <v>235</v>
      </c>
      <c r="M255" s="138"/>
      <c r="N255" s="138"/>
      <c r="O255" s="138"/>
      <c r="P255" s="138"/>
      <c r="Q255" s="139"/>
      <c r="R255" s="140"/>
      <c r="S255" s="16"/>
    </row>
    <row r="256" spans="1:19" ht="33.75" customHeight="1" thickBot="1" x14ac:dyDescent="0.3">
      <c r="A256" s="17"/>
      <c r="B256" s="78" t="s">
        <v>237</v>
      </c>
      <c r="C256" s="79"/>
      <c r="D256" s="79"/>
      <c r="E256" s="79"/>
      <c r="F256" s="79"/>
      <c r="G256" s="86">
        <f>14693+17507</f>
        <v>32200</v>
      </c>
      <c r="H256" s="87"/>
      <c r="I256" s="108" t="s">
        <v>229</v>
      </c>
      <c r="K256" s="17"/>
      <c r="L256" s="78" t="s">
        <v>237</v>
      </c>
      <c r="M256" s="79"/>
      <c r="N256" s="79"/>
      <c r="O256" s="79"/>
      <c r="P256" s="79"/>
      <c r="Q256" s="86">
        <f>27210+12380</f>
        <v>39590</v>
      </c>
      <c r="R256" s="87"/>
      <c r="S256" s="108" t="s">
        <v>229</v>
      </c>
    </row>
    <row r="257" spans="1:19" ht="15.75" thickBot="1" x14ac:dyDescent="0.3">
      <c r="A257" s="18"/>
      <c r="B257" s="110" t="s">
        <v>238</v>
      </c>
      <c r="C257" s="111"/>
      <c r="D257" s="111"/>
      <c r="E257" s="111"/>
      <c r="F257" s="111"/>
      <c r="G257" s="90"/>
      <c r="H257" s="91"/>
      <c r="I257" s="109"/>
      <c r="K257" s="18"/>
      <c r="L257" s="110" t="s">
        <v>238</v>
      </c>
      <c r="M257" s="111"/>
      <c r="N257" s="111"/>
      <c r="O257" s="111"/>
      <c r="P257" s="111"/>
      <c r="Q257" s="90"/>
      <c r="R257" s="91"/>
      <c r="S257" s="109"/>
    </row>
    <row r="258" spans="1:19" ht="15.75" thickBot="1" x14ac:dyDescent="0.3">
      <c r="A258" s="19"/>
      <c r="B258" s="112" t="s">
        <v>239</v>
      </c>
      <c r="C258" s="113"/>
      <c r="D258" s="113"/>
      <c r="E258" s="113"/>
      <c r="F258" s="113"/>
      <c r="G258" s="114">
        <f>SUM(G237:H257)</f>
        <v>473243.3872</v>
      </c>
      <c r="H258" s="115"/>
      <c r="I258" s="20"/>
      <c r="K258" s="19"/>
      <c r="L258" s="112" t="s">
        <v>239</v>
      </c>
      <c r="M258" s="113"/>
      <c r="N258" s="113"/>
      <c r="O258" s="113"/>
      <c r="P258" s="113"/>
      <c r="Q258" s="114">
        <f>SUM(Q237:R257)</f>
        <v>578372.81359999999</v>
      </c>
      <c r="R258" s="115"/>
      <c r="S258" s="20"/>
    </row>
    <row r="259" spans="1:19" ht="21.75" customHeight="1" thickBot="1" x14ac:dyDescent="0.3">
      <c r="A259" s="21"/>
      <c r="B259" s="101" t="s">
        <v>240</v>
      </c>
      <c r="C259" s="102"/>
      <c r="D259" s="102"/>
      <c r="E259" s="102"/>
      <c r="F259" s="102"/>
      <c r="G259" s="116">
        <f>G258*1.2</f>
        <v>567892.06464</v>
      </c>
      <c r="H259" s="117"/>
      <c r="I259" s="22"/>
      <c r="K259" s="21"/>
      <c r="L259" s="101" t="s">
        <v>240</v>
      </c>
      <c r="M259" s="102"/>
      <c r="N259" s="102"/>
      <c r="O259" s="102"/>
      <c r="P259" s="102"/>
      <c r="Q259" s="116">
        <f>Q258*1.2</f>
        <v>694047.37631999992</v>
      </c>
      <c r="R259" s="117"/>
      <c r="S259" s="22"/>
    </row>
    <row r="260" spans="1:19" ht="21.75" customHeight="1" thickBot="1" x14ac:dyDescent="0.3">
      <c r="A260" s="24"/>
      <c r="B260" s="96" t="s">
        <v>443</v>
      </c>
      <c r="C260" s="97"/>
      <c r="D260" s="97"/>
      <c r="E260" s="97"/>
      <c r="F260" s="97"/>
      <c r="G260" s="295">
        <v>565644.51</v>
      </c>
      <c r="H260" s="296"/>
      <c r="I260" s="297"/>
      <c r="K260" s="24"/>
      <c r="L260" s="96" t="s">
        <v>443</v>
      </c>
      <c r="M260" s="97"/>
      <c r="N260" s="97"/>
      <c r="O260" s="97"/>
      <c r="P260" s="97"/>
      <c r="Q260" s="295">
        <v>69837029</v>
      </c>
      <c r="R260" s="296"/>
      <c r="S260" s="297"/>
    </row>
    <row r="261" spans="1:19" ht="21.75" customHeight="1" thickBot="1" x14ac:dyDescent="0.3">
      <c r="A261" s="19"/>
      <c r="B261" s="101" t="s">
        <v>242</v>
      </c>
      <c r="C261" s="102"/>
      <c r="D261" s="102"/>
      <c r="E261" s="102"/>
      <c r="F261" s="102"/>
      <c r="G261" s="116">
        <v>587073.62</v>
      </c>
      <c r="H261" s="298"/>
      <c r="I261" s="214"/>
      <c r="K261" s="19"/>
      <c r="L261" s="101" t="s">
        <v>242</v>
      </c>
      <c r="M261" s="102"/>
      <c r="N261" s="102"/>
      <c r="O261" s="102"/>
      <c r="P261" s="102"/>
      <c r="Q261" s="116">
        <v>743620.83</v>
      </c>
      <c r="R261" s="298"/>
      <c r="S261" s="214"/>
    </row>
    <row r="262" spans="1:19" ht="21.75" customHeight="1" thickBot="1" x14ac:dyDescent="0.3">
      <c r="A262" s="19"/>
      <c r="B262" s="106" t="s">
        <v>444</v>
      </c>
      <c r="C262" s="107"/>
      <c r="D262" s="107"/>
      <c r="E262" s="107"/>
      <c r="F262" s="107"/>
      <c r="G262" s="116">
        <v>84887.71</v>
      </c>
      <c r="H262" s="298"/>
      <c r="I262" s="214"/>
      <c r="K262" s="19"/>
      <c r="L262" s="106" t="s">
        <v>444</v>
      </c>
      <c r="M262" s="107"/>
      <c r="N262" s="107"/>
      <c r="O262" s="107"/>
      <c r="P262" s="107"/>
      <c r="Q262" s="116">
        <v>170977.72</v>
      </c>
      <c r="R262" s="298"/>
      <c r="S262" s="214"/>
    </row>
    <row r="263" spans="1:19" ht="31.5" customHeight="1" x14ac:dyDescent="0.25">
      <c r="A263" s="4"/>
      <c r="B263" s="26"/>
      <c r="C263" s="26"/>
      <c r="D263" s="26"/>
      <c r="E263" s="26"/>
      <c r="F263" s="26"/>
      <c r="G263" s="27"/>
      <c r="H263" s="3"/>
      <c r="I263" s="3"/>
      <c r="K263" s="4"/>
      <c r="L263" s="310"/>
      <c r="M263" s="310"/>
      <c r="N263" s="310"/>
      <c r="O263" s="310"/>
      <c r="P263" s="310"/>
      <c r="Q263" s="310"/>
      <c r="R263" s="310"/>
      <c r="S263" s="310"/>
    </row>
    <row r="264" spans="1:19" x14ac:dyDescent="0.25">
      <c r="E264" s="50"/>
      <c r="I264" s="5"/>
      <c r="O264" s="50"/>
      <c r="S264" s="5"/>
    </row>
    <row r="265" spans="1:19" x14ac:dyDescent="0.25">
      <c r="A265" s="3"/>
      <c r="I265" s="5"/>
      <c r="K265" s="3"/>
      <c r="S265" s="5"/>
    </row>
    <row r="266" spans="1:19" ht="15.75" x14ac:dyDescent="0.25">
      <c r="A266" s="3"/>
      <c r="C266" s="30"/>
      <c r="K266" s="3"/>
      <c r="M266" s="30"/>
    </row>
    <row r="267" spans="1:19" ht="15.75" x14ac:dyDescent="0.25">
      <c r="A267" s="30"/>
      <c r="C267" s="30"/>
      <c r="K267" s="30"/>
      <c r="M267" s="30"/>
    </row>
  </sheetData>
  <mergeCells count="762">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B28:F28"/>
    <mergeCell ref="G28:H29"/>
    <mergeCell ref="I28:I29"/>
    <mergeCell ref="L28:P28"/>
    <mergeCell ref="Q28:R29"/>
    <mergeCell ref="S28:S29"/>
    <mergeCell ref="B29:F29"/>
    <mergeCell ref="L29:P29"/>
    <mergeCell ref="B26:F26"/>
    <mergeCell ref="G26:H26"/>
    <mergeCell ref="L26:P26"/>
    <mergeCell ref="Q26:R26"/>
    <mergeCell ref="B27:F27"/>
    <mergeCell ref="G27:H27"/>
    <mergeCell ref="L27:P27"/>
    <mergeCell ref="Q27:R27"/>
    <mergeCell ref="B32:F32"/>
    <mergeCell ref="G32:I32"/>
    <mergeCell ref="L32:P32"/>
    <mergeCell ref="Q32:S32"/>
    <mergeCell ref="B33:F33"/>
    <mergeCell ref="G33:I33"/>
    <mergeCell ref="L33:P33"/>
    <mergeCell ref="Q33:S33"/>
    <mergeCell ref="B30:F30"/>
    <mergeCell ref="G30:H30"/>
    <mergeCell ref="L30:P30"/>
    <mergeCell ref="Q30:R30"/>
    <mergeCell ref="B31:F31"/>
    <mergeCell ref="G31:H31"/>
    <mergeCell ref="L31:P31"/>
    <mergeCell ref="Q31:R31"/>
    <mergeCell ref="Q42:R43"/>
    <mergeCell ref="S42:S43"/>
    <mergeCell ref="A44:A45"/>
    <mergeCell ref="B44:F45"/>
    <mergeCell ref="G44:I45"/>
    <mergeCell ref="K44:K45"/>
    <mergeCell ref="L44:P45"/>
    <mergeCell ref="Q44:S45"/>
    <mergeCell ref="B34:F34"/>
    <mergeCell ref="G34:I34"/>
    <mergeCell ref="L34:P34"/>
    <mergeCell ref="Q34:S34"/>
    <mergeCell ref="A42:A43"/>
    <mergeCell ref="B42:F43"/>
    <mergeCell ref="G42:H43"/>
    <mergeCell ref="I42:I43"/>
    <mergeCell ref="K42:K43"/>
    <mergeCell ref="L42:P43"/>
    <mergeCell ref="B46:F46"/>
    <mergeCell ref="G46:H48"/>
    <mergeCell ref="I46:I47"/>
    <mergeCell ref="L46:P46"/>
    <mergeCell ref="Q46:R48"/>
    <mergeCell ref="S46:S47"/>
    <mergeCell ref="B47:F47"/>
    <mergeCell ref="L47:P47"/>
    <mergeCell ref="B48:F48"/>
    <mergeCell ref="L48:P48"/>
    <mergeCell ref="B53:F53"/>
    <mergeCell ref="L53:P53"/>
    <mergeCell ref="B49:F49"/>
    <mergeCell ref="G49:H49"/>
    <mergeCell ref="L49:P49"/>
    <mergeCell ref="Q49:R49"/>
    <mergeCell ref="B50:F50"/>
    <mergeCell ref="G50:H50"/>
    <mergeCell ref="L50:P50"/>
    <mergeCell ref="Q50:R50"/>
    <mergeCell ref="B51:F51"/>
    <mergeCell ref="G51:H54"/>
    <mergeCell ref="I51:I53"/>
    <mergeCell ref="L51:P51"/>
    <mergeCell ref="B58:F58"/>
    <mergeCell ref="G58:H62"/>
    <mergeCell ref="I58:I62"/>
    <mergeCell ref="L58:P58"/>
    <mergeCell ref="Q51:R54"/>
    <mergeCell ref="B54:F54"/>
    <mergeCell ref="L54:P54"/>
    <mergeCell ref="Q58:R62"/>
    <mergeCell ref="S58:S62"/>
    <mergeCell ref="Q55:R56"/>
    <mergeCell ref="S55:S56"/>
    <mergeCell ref="B56:F56"/>
    <mergeCell ref="L56:P56"/>
    <mergeCell ref="B57:F57"/>
    <mergeCell ref="G57:H57"/>
    <mergeCell ref="L57:P57"/>
    <mergeCell ref="Q57:R57"/>
    <mergeCell ref="B55:F55"/>
    <mergeCell ref="G55:H56"/>
    <mergeCell ref="I55:I56"/>
    <mergeCell ref="L55:P55"/>
    <mergeCell ref="S51:S53"/>
    <mergeCell ref="B52:F52"/>
    <mergeCell ref="L52:P52"/>
    <mergeCell ref="A59:A62"/>
    <mergeCell ref="B59:F59"/>
    <mergeCell ref="K59:K62"/>
    <mergeCell ref="L59:P59"/>
    <mergeCell ref="B60:F60"/>
    <mergeCell ref="L60:P60"/>
    <mergeCell ref="B61:F61"/>
    <mergeCell ref="L61:P61"/>
    <mergeCell ref="B62:F62"/>
    <mergeCell ref="L62:P62"/>
    <mergeCell ref="B65:F65"/>
    <mergeCell ref="G65:H66"/>
    <mergeCell ref="I65:I66"/>
    <mergeCell ref="L65:P65"/>
    <mergeCell ref="Q65:R66"/>
    <mergeCell ref="S65:S66"/>
    <mergeCell ref="B66:F66"/>
    <mergeCell ref="L66:P66"/>
    <mergeCell ref="B63:F63"/>
    <mergeCell ref="G63:H63"/>
    <mergeCell ref="L63:P63"/>
    <mergeCell ref="Q63:R63"/>
    <mergeCell ref="B64:F64"/>
    <mergeCell ref="G64:H64"/>
    <mergeCell ref="L64:P64"/>
    <mergeCell ref="Q64:R64"/>
    <mergeCell ref="B69:F69"/>
    <mergeCell ref="G69:I69"/>
    <mergeCell ref="L69:P69"/>
    <mergeCell ref="Q69:S69"/>
    <mergeCell ref="B70:F70"/>
    <mergeCell ref="G70:I70"/>
    <mergeCell ref="L70:P70"/>
    <mergeCell ref="Q70:S70"/>
    <mergeCell ref="B67:F67"/>
    <mergeCell ref="G67:H67"/>
    <mergeCell ref="L67:P67"/>
    <mergeCell ref="Q67:R67"/>
    <mergeCell ref="B68:F68"/>
    <mergeCell ref="G68:H68"/>
    <mergeCell ref="L68:P68"/>
    <mergeCell ref="Q68:R68"/>
    <mergeCell ref="Q80:R81"/>
    <mergeCell ref="S80:S81"/>
    <mergeCell ref="A82:A83"/>
    <mergeCell ref="B82:F83"/>
    <mergeCell ref="G82:I83"/>
    <mergeCell ref="K82:K83"/>
    <mergeCell ref="L82:P83"/>
    <mergeCell ref="Q82:S83"/>
    <mergeCell ref="B71:F71"/>
    <mergeCell ref="G71:I71"/>
    <mergeCell ref="L71:P71"/>
    <mergeCell ref="Q71:S71"/>
    <mergeCell ref="A80:A81"/>
    <mergeCell ref="B80:F81"/>
    <mergeCell ref="G80:H81"/>
    <mergeCell ref="I80:I81"/>
    <mergeCell ref="K80:K81"/>
    <mergeCell ref="L80:P81"/>
    <mergeCell ref="B84:F84"/>
    <mergeCell ref="G84:H86"/>
    <mergeCell ref="I84:I85"/>
    <mergeCell ref="L84:P84"/>
    <mergeCell ref="Q84:R86"/>
    <mergeCell ref="S84:S85"/>
    <mergeCell ref="B85:F85"/>
    <mergeCell ref="L85:P85"/>
    <mergeCell ref="B86:F86"/>
    <mergeCell ref="L86:P86"/>
    <mergeCell ref="B91:F91"/>
    <mergeCell ref="L91:P91"/>
    <mergeCell ref="B87:F87"/>
    <mergeCell ref="G87:H87"/>
    <mergeCell ref="L87:P87"/>
    <mergeCell ref="Q87:R87"/>
    <mergeCell ref="B88:F88"/>
    <mergeCell ref="G88:H88"/>
    <mergeCell ref="L88:P88"/>
    <mergeCell ref="Q88:R88"/>
    <mergeCell ref="B89:F89"/>
    <mergeCell ref="G89:H92"/>
    <mergeCell ref="I89:I91"/>
    <mergeCell ref="L89:P89"/>
    <mergeCell ref="B96:F96"/>
    <mergeCell ref="G96:H100"/>
    <mergeCell ref="I96:I100"/>
    <mergeCell ref="L96:P96"/>
    <mergeCell ref="Q89:R92"/>
    <mergeCell ref="B92:F92"/>
    <mergeCell ref="L92:P92"/>
    <mergeCell ref="Q96:R100"/>
    <mergeCell ref="S96:S100"/>
    <mergeCell ref="Q93:R94"/>
    <mergeCell ref="S93:S94"/>
    <mergeCell ref="B94:F94"/>
    <mergeCell ref="L94:P94"/>
    <mergeCell ref="B95:F95"/>
    <mergeCell ref="G95:H95"/>
    <mergeCell ref="L95:P95"/>
    <mergeCell ref="Q95:R95"/>
    <mergeCell ref="B93:F93"/>
    <mergeCell ref="G93:H94"/>
    <mergeCell ref="I93:I94"/>
    <mergeCell ref="L93:P93"/>
    <mergeCell ref="S89:S91"/>
    <mergeCell ref="B90:F90"/>
    <mergeCell ref="L90:P90"/>
    <mergeCell ref="A97:A100"/>
    <mergeCell ref="B97:F97"/>
    <mergeCell ref="K97:K100"/>
    <mergeCell ref="L97:P97"/>
    <mergeCell ref="B98:F98"/>
    <mergeCell ref="L98:P98"/>
    <mergeCell ref="B99:F99"/>
    <mergeCell ref="L99:P99"/>
    <mergeCell ref="B100:F100"/>
    <mergeCell ref="L100:P100"/>
    <mergeCell ref="B103:F103"/>
    <mergeCell ref="G103:H104"/>
    <mergeCell ref="I103:I104"/>
    <mergeCell ref="L103:P103"/>
    <mergeCell ref="Q103:R104"/>
    <mergeCell ref="S103:S104"/>
    <mergeCell ref="B104:F104"/>
    <mergeCell ref="L104:P104"/>
    <mergeCell ref="B101:F101"/>
    <mergeCell ref="G101:H101"/>
    <mergeCell ref="L101:P101"/>
    <mergeCell ref="Q101:R101"/>
    <mergeCell ref="B102:F102"/>
    <mergeCell ref="G102:H102"/>
    <mergeCell ref="L102:P102"/>
    <mergeCell ref="Q102:R102"/>
    <mergeCell ref="B107:F107"/>
    <mergeCell ref="G107:I107"/>
    <mergeCell ref="L107:P107"/>
    <mergeCell ref="Q107:S107"/>
    <mergeCell ref="B108:F108"/>
    <mergeCell ref="G108:I108"/>
    <mergeCell ref="L108:P108"/>
    <mergeCell ref="Q108:S108"/>
    <mergeCell ref="B105:F105"/>
    <mergeCell ref="G105:H105"/>
    <mergeCell ref="L105:P105"/>
    <mergeCell ref="Q105:R105"/>
    <mergeCell ref="B106:F106"/>
    <mergeCell ref="G106:H106"/>
    <mergeCell ref="L106:P106"/>
    <mergeCell ref="Q106:R106"/>
    <mergeCell ref="B109:F109"/>
    <mergeCell ref="G109:I109"/>
    <mergeCell ref="L109:P109"/>
    <mergeCell ref="Q109:S109"/>
    <mergeCell ref="B110:I110"/>
    <mergeCell ref="A117:A118"/>
    <mergeCell ref="B117:F118"/>
    <mergeCell ref="G117:H118"/>
    <mergeCell ref="I117:I118"/>
    <mergeCell ref="K117:K118"/>
    <mergeCell ref="L117:P118"/>
    <mergeCell ref="Q117:R118"/>
    <mergeCell ref="S117:S118"/>
    <mergeCell ref="A119:A120"/>
    <mergeCell ref="B119:F120"/>
    <mergeCell ref="G119:I120"/>
    <mergeCell ref="K119:K120"/>
    <mergeCell ref="L119:P120"/>
    <mergeCell ref="Q119:S120"/>
    <mergeCell ref="B121:F121"/>
    <mergeCell ref="G121:H123"/>
    <mergeCell ref="I121:I122"/>
    <mergeCell ref="L121:P121"/>
    <mergeCell ref="Q121:R123"/>
    <mergeCell ref="S121:S122"/>
    <mergeCell ref="B122:F122"/>
    <mergeCell ref="L122:P122"/>
    <mergeCell ref="B123:F123"/>
    <mergeCell ref="L123:P123"/>
    <mergeCell ref="B128:F128"/>
    <mergeCell ref="L128:P128"/>
    <mergeCell ref="B124:F124"/>
    <mergeCell ref="G124:H124"/>
    <mergeCell ref="L124:P124"/>
    <mergeCell ref="Q124:R124"/>
    <mergeCell ref="B125:F125"/>
    <mergeCell ref="G125:H125"/>
    <mergeCell ref="L125:P125"/>
    <mergeCell ref="Q125:R125"/>
    <mergeCell ref="B126:F126"/>
    <mergeCell ref="G126:H129"/>
    <mergeCell ref="I126:I128"/>
    <mergeCell ref="L126:P126"/>
    <mergeCell ref="B133:F133"/>
    <mergeCell ref="G133:H137"/>
    <mergeCell ref="I133:I137"/>
    <mergeCell ref="L133:P133"/>
    <mergeCell ref="Q126:R129"/>
    <mergeCell ref="B129:F129"/>
    <mergeCell ref="L129:P129"/>
    <mergeCell ref="Q133:R137"/>
    <mergeCell ref="S133:S137"/>
    <mergeCell ref="Q130:R131"/>
    <mergeCell ref="S130:S131"/>
    <mergeCell ref="B131:F131"/>
    <mergeCell ref="L131:P131"/>
    <mergeCell ref="B132:F132"/>
    <mergeCell ref="G132:H132"/>
    <mergeCell ref="L132:P132"/>
    <mergeCell ref="Q132:R132"/>
    <mergeCell ref="B130:F130"/>
    <mergeCell ref="G130:H131"/>
    <mergeCell ref="I130:I131"/>
    <mergeCell ref="L130:P130"/>
    <mergeCell ref="S126:S128"/>
    <mergeCell ref="B127:F127"/>
    <mergeCell ref="L127:P127"/>
    <mergeCell ref="A134:A137"/>
    <mergeCell ref="B134:F134"/>
    <mergeCell ref="K134:K137"/>
    <mergeCell ref="L134:P134"/>
    <mergeCell ref="B135:F135"/>
    <mergeCell ref="L135:P135"/>
    <mergeCell ref="B136:F136"/>
    <mergeCell ref="L136:P136"/>
    <mergeCell ref="B137:F137"/>
    <mergeCell ref="L137:P137"/>
    <mergeCell ref="S140:S141"/>
    <mergeCell ref="B141:F141"/>
    <mergeCell ref="L141:P141"/>
    <mergeCell ref="B138:F138"/>
    <mergeCell ref="G138:H138"/>
    <mergeCell ref="L138:P138"/>
    <mergeCell ref="Q138:R138"/>
    <mergeCell ref="B139:F139"/>
    <mergeCell ref="G139:H139"/>
    <mergeCell ref="L139:P139"/>
    <mergeCell ref="Q139:R139"/>
    <mergeCell ref="B142:F142"/>
    <mergeCell ref="G142:H142"/>
    <mergeCell ref="L142:P142"/>
    <mergeCell ref="Q142:R142"/>
    <mergeCell ref="B143:F143"/>
    <mergeCell ref="G143:H143"/>
    <mergeCell ref="L143:P143"/>
    <mergeCell ref="Q143:R143"/>
    <mergeCell ref="B140:F140"/>
    <mergeCell ref="G140:H141"/>
    <mergeCell ref="I140:I141"/>
    <mergeCell ref="L140:P140"/>
    <mergeCell ref="Q140:R141"/>
    <mergeCell ref="B146:F146"/>
    <mergeCell ref="G146:I146"/>
    <mergeCell ref="L146:P146"/>
    <mergeCell ref="Q146:S146"/>
    <mergeCell ref="B147:I147"/>
    <mergeCell ref="L147:S147"/>
    <mergeCell ref="B144:F144"/>
    <mergeCell ref="G144:I144"/>
    <mergeCell ref="L144:P144"/>
    <mergeCell ref="Q144:S144"/>
    <mergeCell ref="B145:F145"/>
    <mergeCell ref="G145:I145"/>
    <mergeCell ref="L145:P145"/>
    <mergeCell ref="Q145:S145"/>
    <mergeCell ref="Q154:R155"/>
    <mergeCell ref="S154:S155"/>
    <mergeCell ref="A156:A157"/>
    <mergeCell ref="B156:F157"/>
    <mergeCell ref="G156:I157"/>
    <mergeCell ref="K156:K157"/>
    <mergeCell ref="L156:P157"/>
    <mergeCell ref="Q156:S157"/>
    <mergeCell ref="A154:A155"/>
    <mergeCell ref="B154:F155"/>
    <mergeCell ref="G154:H155"/>
    <mergeCell ref="I154:I155"/>
    <mergeCell ref="K154:K155"/>
    <mergeCell ref="L154:P155"/>
    <mergeCell ref="B158:F158"/>
    <mergeCell ref="G158:H160"/>
    <mergeCell ref="I158:I159"/>
    <mergeCell ref="L158:P158"/>
    <mergeCell ref="Q158:R160"/>
    <mergeCell ref="S158:S159"/>
    <mergeCell ref="B159:F159"/>
    <mergeCell ref="L159:P159"/>
    <mergeCell ref="B160:F160"/>
    <mergeCell ref="L160:P160"/>
    <mergeCell ref="B165:F165"/>
    <mergeCell ref="L165:P165"/>
    <mergeCell ref="B161:F161"/>
    <mergeCell ref="G161:H161"/>
    <mergeCell ref="L161:P161"/>
    <mergeCell ref="Q161:R161"/>
    <mergeCell ref="B162:F162"/>
    <mergeCell ref="G162:H162"/>
    <mergeCell ref="L162:P162"/>
    <mergeCell ref="Q162:R162"/>
    <mergeCell ref="B163:F163"/>
    <mergeCell ref="G163:H166"/>
    <mergeCell ref="I163:I165"/>
    <mergeCell ref="L163:P163"/>
    <mergeCell ref="B170:F170"/>
    <mergeCell ref="G170:H174"/>
    <mergeCell ref="I170:I174"/>
    <mergeCell ref="L170:P170"/>
    <mergeCell ref="Q163:R166"/>
    <mergeCell ref="B166:F166"/>
    <mergeCell ref="L166:P166"/>
    <mergeCell ref="Q170:R174"/>
    <mergeCell ref="S170:S174"/>
    <mergeCell ref="Q167:R168"/>
    <mergeCell ref="S167:S168"/>
    <mergeCell ref="B168:F168"/>
    <mergeCell ref="L168:P168"/>
    <mergeCell ref="B169:F169"/>
    <mergeCell ref="G169:H169"/>
    <mergeCell ref="L169:P169"/>
    <mergeCell ref="Q169:R169"/>
    <mergeCell ref="B167:F167"/>
    <mergeCell ref="G167:H168"/>
    <mergeCell ref="I167:I168"/>
    <mergeCell ref="L167:P167"/>
    <mergeCell ref="S163:S165"/>
    <mergeCell ref="B164:F164"/>
    <mergeCell ref="L164:P164"/>
    <mergeCell ref="A171:A174"/>
    <mergeCell ref="B171:F171"/>
    <mergeCell ref="K171:K174"/>
    <mergeCell ref="L171:P171"/>
    <mergeCell ref="B172:F172"/>
    <mergeCell ref="L172:P172"/>
    <mergeCell ref="B173:F173"/>
    <mergeCell ref="L173:P173"/>
    <mergeCell ref="B174:F174"/>
    <mergeCell ref="L174:P174"/>
    <mergeCell ref="B177:F177"/>
    <mergeCell ref="G177:H178"/>
    <mergeCell ref="I177:I178"/>
    <mergeCell ref="L177:P177"/>
    <mergeCell ref="Q177:R178"/>
    <mergeCell ref="S177:S178"/>
    <mergeCell ref="B178:F178"/>
    <mergeCell ref="L178:P178"/>
    <mergeCell ref="B175:F175"/>
    <mergeCell ref="G175:H175"/>
    <mergeCell ref="L175:P175"/>
    <mergeCell ref="Q175:R175"/>
    <mergeCell ref="B176:F176"/>
    <mergeCell ref="G176:H176"/>
    <mergeCell ref="L176:P176"/>
    <mergeCell ref="Q176:R176"/>
    <mergeCell ref="B181:F181"/>
    <mergeCell ref="G181:I181"/>
    <mergeCell ref="L181:P181"/>
    <mergeCell ref="Q181:S181"/>
    <mergeCell ref="B182:F182"/>
    <mergeCell ref="G182:I182"/>
    <mergeCell ref="L182:P182"/>
    <mergeCell ref="Q182:S182"/>
    <mergeCell ref="B179:F179"/>
    <mergeCell ref="G179:H179"/>
    <mergeCell ref="L179:P179"/>
    <mergeCell ref="Q179:R179"/>
    <mergeCell ref="B180:F180"/>
    <mergeCell ref="G180:H180"/>
    <mergeCell ref="L180:P180"/>
    <mergeCell ref="Q180:R180"/>
    <mergeCell ref="Q194:R195"/>
    <mergeCell ref="S194:S195"/>
    <mergeCell ref="A196:A197"/>
    <mergeCell ref="B196:F197"/>
    <mergeCell ref="G196:I197"/>
    <mergeCell ref="K196:K197"/>
    <mergeCell ref="L196:P197"/>
    <mergeCell ref="Q196:S197"/>
    <mergeCell ref="B183:F183"/>
    <mergeCell ref="G183:I183"/>
    <mergeCell ref="L183:P183"/>
    <mergeCell ref="Q183:S183"/>
    <mergeCell ref="A194:A195"/>
    <mergeCell ref="B194:F195"/>
    <mergeCell ref="G194:H195"/>
    <mergeCell ref="I194:I195"/>
    <mergeCell ref="K194:K195"/>
    <mergeCell ref="L194:P195"/>
    <mergeCell ref="B184:I184"/>
    <mergeCell ref="B198:F198"/>
    <mergeCell ref="G198:H200"/>
    <mergeCell ref="I198:I199"/>
    <mergeCell ref="L198:P198"/>
    <mergeCell ref="Q198:R200"/>
    <mergeCell ref="S198:S199"/>
    <mergeCell ref="B199:F199"/>
    <mergeCell ref="L199:P199"/>
    <mergeCell ref="B200:F200"/>
    <mergeCell ref="L200:P200"/>
    <mergeCell ref="B205:F205"/>
    <mergeCell ref="L205:P205"/>
    <mergeCell ref="B201:F201"/>
    <mergeCell ref="G201:H201"/>
    <mergeCell ref="L201:P201"/>
    <mergeCell ref="Q201:R201"/>
    <mergeCell ref="B202:F202"/>
    <mergeCell ref="G202:H202"/>
    <mergeCell ref="L202:P202"/>
    <mergeCell ref="Q202:R202"/>
    <mergeCell ref="B203:F203"/>
    <mergeCell ref="G203:H206"/>
    <mergeCell ref="I203:I205"/>
    <mergeCell ref="L203:P203"/>
    <mergeCell ref="B210:F210"/>
    <mergeCell ref="G210:H214"/>
    <mergeCell ref="I210:I214"/>
    <mergeCell ref="L210:P210"/>
    <mergeCell ref="Q203:R206"/>
    <mergeCell ref="B206:F206"/>
    <mergeCell ref="L206:P206"/>
    <mergeCell ref="Q210:R214"/>
    <mergeCell ref="S210:S214"/>
    <mergeCell ref="Q207:R208"/>
    <mergeCell ref="S207:S208"/>
    <mergeCell ref="B208:F208"/>
    <mergeCell ref="L208:P208"/>
    <mergeCell ref="B209:F209"/>
    <mergeCell ref="G209:H209"/>
    <mergeCell ref="L209:P209"/>
    <mergeCell ref="Q209:R209"/>
    <mergeCell ref="B207:F207"/>
    <mergeCell ref="G207:H208"/>
    <mergeCell ref="I207:I208"/>
    <mergeCell ref="L207:P207"/>
    <mergeCell ref="S203:S205"/>
    <mergeCell ref="B204:F204"/>
    <mergeCell ref="L204:P204"/>
    <mergeCell ref="A211:A214"/>
    <mergeCell ref="B211:F211"/>
    <mergeCell ref="K211:K214"/>
    <mergeCell ref="L211:P211"/>
    <mergeCell ref="B212:F212"/>
    <mergeCell ref="L212:P212"/>
    <mergeCell ref="B213:F213"/>
    <mergeCell ref="L213:P213"/>
    <mergeCell ref="B214:F214"/>
    <mergeCell ref="L214:P214"/>
    <mergeCell ref="B217:F217"/>
    <mergeCell ref="G217:H218"/>
    <mergeCell ref="I217:I218"/>
    <mergeCell ref="L217:P217"/>
    <mergeCell ref="Q217:R218"/>
    <mergeCell ref="S217:S218"/>
    <mergeCell ref="B218:F218"/>
    <mergeCell ref="L218:P218"/>
    <mergeCell ref="B215:F215"/>
    <mergeCell ref="G215:H215"/>
    <mergeCell ref="L215:P215"/>
    <mergeCell ref="Q215:R215"/>
    <mergeCell ref="B216:F216"/>
    <mergeCell ref="G216:H216"/>
    <mergeCell ref="L216:P216"/>
    <mergeCell ref="Q216:R216"/>
    <mergeCell ref="B221:F221"/>
    <mergeCell ref="G221:I221"/>
    <mergeCell ref="L221:P221"/>
    <mergeCell ref="Q221:S221"/>
    <mergeCell ref="B222:F222"/>
    <mergeCell ref="G222:I222"/>
    <mergeCell ref="L222:P222"/>
    <mergeCell ref="Q222:S222"/>
    <mergeCell ref="B219:F219"/>
    <mergeCell ref="G219:H219"/>
    <mergeCell ref="L219:P219"/>
    <mergeCell ref="Q219:R219"/>
    <mergeCell ref="B220:F220"/>
    <mergeCell ref="G220:H220"/>
    <mergeCell ref="L220:P220"/>
    <mergeCell ref="Q220:R220"/>
    <mergeCell ref="B223:F223"/>
    <mergeCell ref="G223:I223"/>
    <mergeCell ref="L223:P223"/>
    <mergeCell ref="Q223:S223"/>
    <mergeCell ref="B224:I224"/>
    <mergeCell ref="A233:A234"/>
    <mergeCell ref="B233:F234"/>
    <mergeCell ref="G233:H234"/>
    <mergeCell ref="I233:I234"/>
    <mergeCell ref="K233:K234"/>
    <mergeCell ref="L233:P234"/>
    <mergeCell ref="Q233:R234"/>
    <mergeCell ref="S233:S234"/>
    <mergeCell ref="A235:A236"/>
    <mergeCell ref="B235:F236"/>
    <mergeCell ref="G235:I236"/>
    <mergeCell ref="K235:K236"/>
    <mergeCell ref="L235:P236"/>
    <mergeCell ref="Q235:S236"/>
    <mergeCell ref="B237:F237"/>
    <mergeCell ref="G237:H239"/>
    <mergeCell ref="I237:I238"/>
    <mergeCell ref="L237:P237"/>
    <mergeCell ref="Q237:R239"/>
    <mergeCell ref="S237:S238"/>
    <mergeCell ref="B238:F238"/>
    <mergeCell ref="L238:P238"/>
    <mergeCell ref="B239:F239"/>
    <mergeCell ref="L239:P239"/>
    <mergeCell ref="B244:F244"/>
    <mergeCell ref="L244:P244"/>
    <mergeCell ref="B240:F240"/>
    <mergeCell ref="G240:H240"/>
    <mergeCell ref="L240:P240"/>
    <mergeCell ref="Q240:R240"/>
    <mergeCell ref="B241:F241"/>
    <mergeCell ref="G241:H241"/>
    <mergeCell ref="L241:P241"/>
    <mergeCell ref="Q241:R241"/>
    <mergeCell ref="B242:F242"/>
    <mergeCell ref="G242:H245"/>
    <mergeCell ref="I242:I244"/>
    <mergeCell ref="L242:P242"/>
    <mergeCell ref="B249:F249"/>
    <mergeCell ref="G249:H253"/>
    <mergeCell ref="I249:I253"/>
    <mergeCell ref="L249:P249"/>
    <mergeCell ref="Q242:R245"/>
    <mergeCell ref="B245:F245"/>
    <mergeCell ref="L245:P245"/>
    <mergeCell ref="Q249:R253"/>
    <mergeCell ref="S249:S253"/>
    <mergeCell ref="Q246:R247"/>
    <mergeCell ref="S246:S247"/>
    <mergeCell ref="B247:F247"/>
    <mergeCell ref="L247:P247"/>
    <mergeCell ref="B248:F248"/>
    <mergeCell ref="G248:H248"/>
    <mergeCell ref="L248:P248"/>
    <mergeCell ref="Q248:R248"/>
    <mergeCell ref="B246:F246"/>
    <mergeCell ref="G246:H247"/>
    <mergeCell ref="I246:I247"/>
    <mergeCell ref="L246:P246"/>
    <mergeCell ref="S242:S244"/>
    <mergeCell ref="B243:F243"/>
    <mergeCell ref="L243:P243"/>
    <mergeCell ref="A250:A253"/>
    <mergeCell ref="B250:F250"/>
    <mergeCell ref="K250:K253"/>
    <mergeCell ref="L250:P250"/>
    <mergeCell ref="B251:F251"/>
    <mergeCell ref="L251:P251"/>
    <mergeCell ref="B252:F252"/>
    <mergeCell ref="L252:P252"/>
    <mergeCell ref="B253:F253"/>
    <mergeCell ref="L253:P253"/>
    <mergeCell ref="S256:S257"/>
    <mergeCell ref="B257:F257"/>
    <mergeCell ref="L257:P257"/>
    <mergeCell ref="B254:F254"/>
    <mergeCell ref="G254:H254"/>
    <mergeCell ref="L254:P254"/>
    <mergeCell ref="Q254:R254"/>
    <mergeCell ref="B255:F255"/>
    <mergeCell ref="G255:H255"/>
    <mergeCell ref="L255:P255"/>
    <mergeCell ref="Q255:R255"/>
    <mergeCell ref="B258:F258"/>
    <mergeCell ref="G258:H258"/>
    <mergeCell ref="L258:P258"/>
    <mergeCell ref="Q258:R258"/>
    <mergeCell ref="B259:F259"/>
    <mergeCell ref="G259:H259"/>
    <mergeCell ref="L259:P259"/>
    <mergeCell ref="Q259:R259"/>
    <mergeCell ref="B256:F256"/>
    <mergeCell ref="G256:H257"/>
    <mergeCell ref="I256:I257"/>
    <mergeCell ref="L256:P256"/>
    <mergeCell ref="Q256:R257"/>
    <mergeCell ref="B262:F262"/>
    <mergeCell ref="G262:I262"/>
    <mergeCell ref="L262:P262"/>
    <mergeCell ref="Q262:S262"/>
    <mergeCell ref="L263:S263"/>
    <mergeCell ref="B260:F260"/>
    <mergeCell ref="G260:I260"/>
    <mergeCell ref="L260:P260"/>
    <mergeCell ref="Q260:S260"/>
    <mergeCell ref="B261:F261"/>
    <mergeCell ref="G261:I261"/>
    <mergeCell ref="L261:P261"/>
    <mergeCell ref="Q261:S26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S264"/>
  <sheetViews>
    <sheetView topLeftCell="B1" zoomScale="68" zoomScaleNormal="68" workbookViewId="0">
      <selection activeCell="Q26" sqref="Q26:R26"/>
    </sheetView>
  </sheetViews>
  <sheetFormatPr defaultColWidth="9.140625" defaultRowHeight="15" x14ac:dyDescent="0.25"/>
  <cols>
    <col min="1" max="1" width="3.42578125" customWidth="1"/>
    <col min="7" max="7" width="10" customWidth="1"/>
    <col min="9" max="9" width="62.42578125" customWidth="1"/>
    <col min="10" max="10" width="0.42578125" customWidth="1"/>
    <col min="11" max="11" width="4.42578125" customWidth="1"/>
    <col min="17" max="17" width="10.28515625" customWidth="1"/>
    <col min="19" max="19" width="60.85546875" customWidth="1"/>
    <col min="257" max="257" width="3.42578125" customWidth="1"/>
    <col min="263" max="263" width="10" customWidth="1"/>
    <col min="265" max="265" width="62.42578125" customWidth="1"/>
    <col min="266" max="266" width="0.42578125" customWidth="1"/>
    <col min="267" max="267" width="4.42578125" customWidth="1"/>
    <col min="273" max="273" width="10.28515625" customWidth="1"/>
    <col min="275" max="275" width="60.85546875" customWidth="1"/>
    <col min="513" max="513" width="3.42578125" customWidth="1"/>
    <col min="519" max="519" width="10" customWidth="1"/>
    <col min="521" max="521" width="62.42578125" customWidth="1"/>
    <col min="522" max="522" width="0.42578125" customWidth="1"/>
    <col min="523" max="523" width="4.42578125" customWidth="1"/>
    <col min="529" max="529" width="10.28515625" customWidth="1"/>
    <col min="531" max="531" width="60.85546875" customWidth="1"/>
    <col min="769" max="769" width="3.42578125" customWidth="1"/>
    <col min="775" max="775" width="10" customWidth="1"/>
    <col min="777" max="777" width="62.42578125" customWidth="1"/>
    <col min="778" max="778" width="0.42578125" customWidth="1"/>
    <col min="779" max="779" width="4.42578125" customWidth="1"/>
    <col min="785" max="785" width="10.28515625" customWidth="1"/>
    <col min="787" max="787" width="60.85546875" customWidth="1"/>
    <col min="1025" max="1025" width="3.42578125" customWidth="1"/>
    <col min="1031" max="1031" width="10" customWidth="1"/>
    <col min="1033" max="1033" width="62.42578125" customWidth="1"/>
    <col min="1034" max="1034" width="0.42578125" customWidth="1"/>
    <col min="1035" max="1035" width="4.42578125" customWidth="1"/>
    <col min="1041" max="1041" width="10.28515625" customWidth="1"/>
    <col min="1043" max="1043" width="60.85546875" customWidth="1"/>
    <col min="1281" max="1281" width="3.42578125" customWidth="1"/>
    <col min="1287" max="1287" width="10" customWidth="1"/>
    <col min="1289" max="1289" width="62.42578125" customWidth="1"/>
    <col min="1290" max="1290" width="0.42578125" customWidth="1"/>
    <col min="1291" max="1291" width="4.42578125" customWidth="1"/>
    <col min="1297" max="1297" width="10.28515625" customWidth="1"/>
    <col min="1299" max="1299" width="60.85546875" customWidth="1"/>
    <col min="1537" max="1537" width="3.42578125" customWidth="1"/>
    <col min="1543" max="1543" width="10" customWidth="1"/>
    <col min="1545" max="1545" width="62.42578125" customWidth="1"/>
    <col min="1546" max="1546" width="0.42578125" customWidth="1"/>
    <col min="1547" max="1547" width="4.42578125" customWidth="1"/>
    <col min="1553" max="1553" width="10.28515625" customWidth="1"/>
    <col min="1555" max="1555" width="60.85546875" customWidth="1"/>
    <col min="1793" max="1793" width="3.42578125" customWidth="1"/>
    <col min="1799" max="1799" width="10" customWidth="1"/>
    <col min="1801" max="1801" width="62.42578125" customWidth="1"/>
    <col min="1802" max="1802" width="0.42578125" customWidth="1"/>
    <col min="1803" max="1803" width="4.42578125" customWidth="1"/>
    <col min="1809" max="1809" width="10.28515625" customWidth="1"/>
    <col min="1811" max="1811" width="60.85546875" customWidth="1"/>
    <col min="2049" max="2049" width="3.42578125" customWidth="1"/>
    <col min="2055" max="2055" width="10" customWidth="1"/>
    <col min="2057" max="2057" width="62.42578125" customWidth="1"/>
    <col min="2058" max="2058" width="0.42578125" customWidth="1"/>
    <col min="2059" max="2059" width="4.42578125" customWidth="1"/>
    <col min="2065" max="2065" width="10.28515625" customWidth="1"/>
    <col min="2067" max="2067" width="60.85546875" customWidth="1"/>
    <col min="2305" max="2305" width="3.42578125" customWidth="1"/>
    <col min="2311" max="2311" width="10" customWidth="1"/>
    <col min="2313" max="2313" width="62.42578125" customWidth="1"/>
    <col min="2314" max="2314" width="0.42578125" customWidth="1"/>
    <col min="2315" max="2315" width="4.42578125" customWidth="1"/>
    <col min="2321" max="2321" width="10.28515625" customWidth="1"/>
    <col min="2323" max="2323" width="60.85546875" customWidth="1"/>
    <col min="2561" max="2561" width="3.42578125" customWidth="1"/>
    <col min="2567" max="2567" width="10" customWidth="1"/>
    <col min="2569" max="2569" width="62.42578125" customWidth="1"/>
    <col min="2570" max="2570" width="0.42578125" customWidth="1"/>
    <col min="2571" max="2571" width="4.42578125" customWidth="1"/>
    <col min="2577" max="2577" width="10.28515625" customWidth="1"/>
    <col min="2579" max="2579" width="60.85546875" customWidth="1"/>
    <col min="2817" max="2817" width="3.42578125" customWidth="1"/>
    <col min="2823" max="2823" width="10" customWidth="1"/>
    <col min="2825" max="2825" width="62.42578125" customWidth="1"/>
    <col min="2826" max="2826" width="0.42578125" customWidth="1"/>
    <col min="2827" max="2827" width="4.42578125" customWidth="1"/>
    <col min="2833" max="2833" width="10.28515625" customWidth="1"/>
    <col min="2835" max="2835" width="60.85546875" customWidth="1"/>
    <col min="3073" max="3073" width="3.42578125" customWidth="1"/>
    <col min="3079" max="3079" width="10" customWidth="1"/>
    <col min="3081" max="3081" width="62.42578125" customWidth="1"/>
    <col min="3082" max="3082" width="0.42578125" customWidth="1"/>
    <col min="3083" max="3083" width="4.42578125" customWidth="1"/>
    <col min="3089" max="3089" width="10.28515625" customWidth="1"/>
    <col min="3091" max="3091" width="60.85546875" customWidth="1"/>
    <col min="3329" max="3329" width="3.42578125" customWidth="1"/>
    <col min="3335" max="3335" width="10" customWidth="1"/>
    <col min="3337" max="3337" width="62.42578125" customWidth="1"/>
    <col min="3338" max="3338" width="0.42578125" customWidth="1"/>
    <col min="3339" max="3339" width="4.42578125" customWidth="1"/>
    <col min="3345" max="3345" width="10.28515625" customWidth="1"/>
    <col min="3347" max="3347" width="60.85546875" customWidth="1"/>
    <col min="3585" max="3585" width="3.42578125" customWidth="1"/>
    <col min="3591" max="3591" width="10" customWidth="1"/>
    <col min="3593" max="3593" width="62.42578125" customWidth="1"/>
    <col min="3594" max="3594" width="0.42578125" customWidth="1"/>
    <col min="3595" max="3595" width="4.42578125" customWidth="1"/>
    <col min="3601" max="3601" width="10.28515625" customWidth="1"/>
    <col min="3603" max="3603" width="60.85546875" customWidth="1"/>
    <col min="3841" max="3841" width="3.42578125" customWidth="1"/>
    <col min="3847" max="3847" width="10" customWidth="1"/>
    <col min="3849" max="3849" width="62.42578125" customWidth="1"/>
    <col min="3850" max="3850" width="0.42578125" customWidth="1"/>
    <col min="3851" max="3851" width="4.42578125" customWidth="1"/>
    <col min="3857" max="3857" width="10.28515625" customWidth="1"/>
    <col min="3859" max="3859" width="60.85546875" customWidth="1"/>
    <col min="4097" max="4097" width="3.42578125" customWidth="1"/>
    <col min="4103" max="4103" width="10" customWidth="1"/>
    <col min="4105" max="4105" width="62.42578125" customWidth="1"/>
    <col min="4106" max="4106" width="0.42578125" customWidth="1"/>
    <col min="4107" max="4107" width="4.42578125" customWidth="1"/>
    <col min="4113" max="4113" width="10.28515625" customWidth="1"/>
    <col min="4115" max="4115" width="60.85546875" customWidth="1"/>
    <col min="4353" max="4353" width="3.42578125" customWidth="1"/>
    <col min="4359" max="4359" width="10" customWidth="1"/>
    <col min="4361" max="4361" width="62.42578125" customWidth="1"/>
    <col min="4362" max="4362" width="0.42578125" customWidth="1"/>
    <col min="4363" max="4363" width="4.42578125" customWidth="1"/>
    <col min="4369" max="4369" width="10.28515625" customWidth="1"/>
    <col min="4371" max="4371" width="60.85546875" customWidth="1"/>
    <col min="4609" max="4609" width="3.42578125" customWidth="1"/>
    <col min="4615" max="4615" width="10" customWidth="1"/>
    <col min="4617" max="4617" width="62.42578125" customWidth="1"/>
    <col min="4618" max="4618" width="0.42578125" customWidth="1"/>
    <col min="4619" max="4619" width="4.42578125" customWidth="1"/>
    <col min="4625" max="4625" width="10.28515625" customWidth="1"/>
    <col min="4627" max="4627" width="60.85546875" customWidth="1"/>
    <col min="4865" max="4865" width="3.42578125" customWidth="1"/>
    <col min="4871" max="4871" width="10" customWidth="1"/>
    <col min="4873" max="4873" width="62.42578125" customWidth="1"/>
    <col min="4874" max="4874" width="0.42578125" customWidth="1"/>
    <col min="4875" max="4875" width="4.42578125" customWidth="1"/>
    <col min="4881" max="4881" width="10.28515625" customWidth="1"/>
    <col min="4883" max="4883" width="60.85546875" customWidth="1"/>
    <col min="5121" max="5121" width="3.42578125" customWidth="1"/>
    <col min="5127" max="5127" width="10" customWidth="1"/>
    <col min="5129" max="5129" width="62.42578125" customWidth="1"/>
    <col min="5130" max="5130" width="0.42578125" customWidth="1"/>
    <col min="5131" max="5131" width="4.42578125" customWidth="1"/>
    <col min="5137" max="5137" width="10.28515625" customWidth="1"/>
    <col min="5139" max="5139" width="60.85546875" customWidth="1"/>
    <col min="5377" max="5377" width="3.42578125" customWidth="1"/>
    <col min="5383" max="5383" width="10" customWidth="1"/>
    <col min="5385" max="5385" width="62.42578125" customWidth="1"/>
    <col min="5386" max="5386" width="0.42578125" customWidth="1"/>
    <col min="5387" max="5387" width="4.42578125" customWidth="1"/>
    <col min="5393" max="5393" width="10.28515625" customWidth="1"/>
    <col min="5395" max="5395" width="60.85546875" customWidth="1"/>
    <col min="5633" max="5633" width="3.42578125" customWidth="1"/>
    <col min="5639" max="5639" width="10" customWidth="1"/>
    <col min="5641" max="5641" width="62.42578125" customWidth="1"/>
    <col min="5642" max="5642" width="0.42578125" customWidth="1"/>
    <col min="5643" max="5643" width="4.42578125" customWidth="1"/>
    <col min="5649" max="5649" width="10.28515625" customWidth="1"/>
    <col min="5651" max="5651" width="60.85546875" customWidth="1"/>
    <col min="5889" max="5889" width="3.42578125" customWidth="1"/>
    <col min="5895" max="5895" width="10" customWidth="1"/>
    <col min="5897" max="5897" width="62.42578125" customWidth="1"/>
    <col min="5898" max="5898" width="0.42578125" customWidth="1"/>
    <col min="5899" max="5899" width="4.42578125" customWidth="1"/>
    <col min="5905" max="5905" width="10.28515625" customWidth="1"/>
    <col min="5907" max="5907" width="60.85546875" customWidth="1"/>
    <col min="6145" max="6145" width="3.42578125" customWidth="1"/>
    <col min="6151" max="6151" width="10" customWidth="1"/>
    <col min="6153" max="6153" width="62.42578125" customWidth="1"/>
    <col min="6154" max="6154" width="0.42578125" customWidth="1"/>
    <col min="6155" max="6155" width="4.42578125" customWidth="1"/>
    <col min="6161" max="6161" width="10.28515625" customWidth="1"/>
    <col min="6163" max="6163" width="60.85546875" customWidth="1"/>
    <col min="6401" max="6401" width="3.42578125" customWidth="1"/>
    <col min="6407" max="6407" width="10" customWidth="1"/>
    <col min="6409" max="6409" width="62.42578125" customWidth="1"/>
    <col min="6410" max="6410" width="0.42578125" customWidth="1"/>
    <col min="6411" max="6411" width="4.42578125" customWidth="1"/>
    <col min="6417" max="6417" width="10.28515625" customWidth="1"/>
    <col min="6419" max="6419" width="60.85546875" customWidth="1"/>
    <col min="6657" max="6657" width="3.42578125" customWidth="1"/>
    <col min="6663" max="6663" width="10" customWidth="1"/>
    <col min="6665" max="6665" width="62.42578125" customWidth="1"/>
    <col min="6666" max="6666" width="0.42578125" customWidth="1"/>
    <col min="6667" max="6667" width="4.42578125" customWidth="1"/>
    <col min="6673" max="6673" width="10.28515625" customWidth="1"/>
    <col min="6675" max="6675" width="60.85546875" customWidth="1"/>
    <col min="6913" max="6913" width="3.42578125" customWidth="1"/>
    <col min="6919" max="6919" width="10" customWidth="1"/>
    <col min="6921" max="6921" width="62.42578125" customWidth="1"/>
    <col min="6922" max="6922" width="0.42578125" customWidth="1"/>
    <col min="6923" max="6923" width="4.42578125" customWidth="1"/>
    <col min="6929" max="6929" width="10.28515625" customWidth="1"/>
    <col min="6931" max="6931" width="60.85546875" customWidth="1"/>
    <col min="7169" max="7169" width="3.42578125" customWidth="1"/>
    <col min="7175" max="7175" width="10" customWidth="1"/>
    <col min="7177" max="7177" width="62.42578125" customWidth="1"/>
    <col min="7178" max="7178" width="0.42578125" customWidth="1"/>
    <col min="7179" max="7179" width="4.42578125" customWidth="1"/>
    <col min="7185" max="7185" width="10.28515625" customWidth="1"/>
    <col min="7187" max="7187" width="60.85546875" customWidth="1"/>
    <col min="7425" max="7425" width="3.42578125" customWidth="1"/>
    <col min="7431" max="7431" width="10" customWidth="1"/>
    <col min="7433" max="7433" width="62.42578125" customWidth="1"/>
    <col min="7434" max="7434" width="0.42578125" customWidth="1"/>
    <col min="7435" max="7435" width="4.42578125" customWidth="1"/>
    <col min="7441" max="7441" width="10.28515625" customWidth="1"/>
    <col min="7443" max="7443" width="60.85546875" customWidth="1"/>
    <col min="7681" max="7681" width="3.42578125" customWidth="1"/>
    <col min="7687" max="7687" width="10" customWidth="1"/>
    <col min="7689" max="7689" width="62.42578125" customWidth="1"/>
    <col min="7690" max="7690" width="0.42578125" customWidth="1"/>
    <col min="7691" max="7691" width="4.42578125" customWidth="1"/>
    <col min="7697" max="7697" width="10.28515625" customWidth="1"/>
    <col min="7699" max="7699" width="60.85546875" customWidth="1"/>
    <col min="7937" max="7937" width="3.42578125" customWidth="1"/>
    <col min="7943" max="7943" width="10" customWidth="1"/>
    <col min="7945" max="7945" width="62.42578125" customWidth="1"/>
    <col min="7946" max="7946" width="0.42578125" customWidth="1"/>
    <col min="7947" max="7947" width="4.42578125" customWidth="1"/>
    <col min="7953" max="7953" width="10.28515625" customWidth="1"/>
    <col min="7955" max="7955" width="60.85546875" customWidth="1"/>
    <col min="8193" max="8193" width="3.42578125" customWidth="1"/>
    <col min="8199" max="8199" width="10" customWidth="1"/>
    <col min="8201" max="8201" width="62.42578125" customWidth="1"/>
    <col min="8202" max="8202" width="0.42578125" customWidth="1"/>
    <col min="8203" max="8203" width="4.42578125" customWidth="1"/>
    <col min="8209" max="8209" width="10.28515625" customWidth="1"/>
    <col min="8211" max="8211" width="60.85546875" customWidth="1"/>
    <col min="8449" max="8449" width="3.42578125" customWidth="1"/>
    <col min="8455" max="8455" width="10" customWidth="1"/>
    <col min="8457" max="8457" width="62.42578125" customWidth="1"/>
    <col min="8458" max="8458" width="0.42578125" customWidth="1"/>
    <col min="8459" max="8459" width="4.42578125" customWidth="1"/>
    <col min="8465" max="8465" width="10.28515625" customWidth="1"/>
    <col min="8467" max="8467" width="60.85546875" customWidth="1"/>
    <col min="8705" max="8705" width="3.42578125" customWidth="1"/>
    <col min="8711" max="8711" width="10" customWidth="1"/>
    <col min="8713" max="8713" width="62.42578125" customWidth="1"/>
    <col min="8714" max="8714" width="0.42578125" customWidth="1"/>
    <col min="8715" max="8715" width="4.42578125" customWidth="1"/>
    <col min="8721" max="8721" width="10.28515625" customWidth="1"/>
    <col min="8723" max="8723" width="60.85546875" customWidth="1"/>
    <col min="8961" max="8961" width="3.42578125" customWidth="1"/>
    <col min="8967" max="8967" width="10" customWidth="1"/>
    <col min="8969" max="8969" width="62.42578125" customWidth="1"/>
    <col min="8970" max="8970" width="0.42578125" customWidth="1"/>
    <col min="8971" max="8971" width="4.42578125" customWidth="1"/>
    <col min="8977" max="8977" width="10.28515625" customWidth="1"/>
    <col min="8979" max="8979" width="60.85546875" customWidth="1"/>
    <col min="9217" max="9217" width="3.42578125" customWidth="1"/>
    <col min="9223" max="9223" width="10" customWidth="1"/>
    <col min="9225" max="9225" width="62.42578125" customWidth="1"/>
    <col min="9226" max="9226" width="0.42578125" customWidth="1"/>
    <col min="9227" max="9227" width="4.42578125" customWidth="1"/>
    <col min="9233" max="9233" width="10.28515625" customWidth="1"/>
    <col min="9235" max="9235" width="60.85546875" customWidth="1"/>
    <col min="9473" max="9473" width="3.42578125" customWidth="1"/>
    <col min="9479" max="9479" width="10" customWidth="1"/>
    <col min="9481" max="9481" width="62.42578125" customWidth="1"/>
    <col min="9482" max="9482" width="0.42578125" customWidth="1"/>
    <col min="9483" max="9483" width="4.42578125" customWidth="1"/>
    <col min="9489" max="9489" width="10.28515625" customWidth="1"/>
    <col min="9491" max="9491" width="60.85546875" customWidth="1"/>
    <col min="9729" max="9729" width="3.42578125" customWidth="1"/>
    <col min="9735" max="9735" width="10" customWidth="1"/>
    <col min="9737" max="9737" width="62.42578125" customWidth="1"/>
    <col min="9738" max="9738" width="0.42578125" customWidth="1"/>
    <col min="9739" max="9739" width="4.42578125" customWidth="1"/>
    <col min="9745" max="9745" width="10.28515625" customWidth="1"/>
    <col min="9747" max="9747" width="60.85546875" customWidth="1"/>
    <col min="9985" max="9985" width="3.42578125" customWidth="1"/>
    <col min="9991" max="9991" width="10" customWidth="1"/>
    <col min="9993" max="9993" width="62.42578125" customWidth="1"/>
    <col min="9994" max="9994" width="0.42578125" customWidth="1"/>
    <col min="9995" max="9995" width="4.42578125" customWidth="1"/>
    <col min="10001" max="10001" width="10.28515625" customWidth="1"/>
    <col min="10003" max="10003" width="60.85546875" customWidth="1"/>
    <col min="10241" max="10241" width="3.42578125" customWidth="1"/>
    <col min="10247" max="10247" width="10" customWidth="1"/>
    <col min="10249" max="10249" width="62.42578125" customWidth="1"/>
    <col min="10250" max="10250" width="0.42578125" customWidth="1"/>
    <col min="10251" max="10251" width="4.42578125" customWidth="1"/>
    <col min="10257" max="10257" width="10.28515625" customWidth="1"/>
    <col min="10259" max="10259" width="60.85546875" customWidth="1"/>
    <col min="10497" max="10497" width="3.42578125" customWidth="1"/>
    <col min="10503" max="10503" width="10" customWidth="1"/>
    <col min="10505" max="10505" width="62.42578125" customWidth="1"/>
    <col min="10506" max="10506" width="0.42578125" customWidth="1"/>
    <col min="10507" max="10507" width="4.42578125" customWidth="1"/>
    <col min="10513" max="10513" width="10.28515625" customWidth="1"/>
    <col min="10515" max="10515" width="60.85546875" customWidth="1"/>
    <col min="10753" max="10753" width="3.42578125" customWidth="1"/>
    <col min="10759" max="10759" width="10" customWidth="1"/>
    <col min="10761" max="10761" width="62.42578125" customWidth="1"/>
    <col min="10762" max="10762" width="0.42578125" customWidth="1"/>
    <col min="10763" max="10763" width="4.42578125" customWidth="1"/>
    <col min="10769" max="10769" width="10.28515625" customWidth="1"/>
    <col min="10771" max="10771" width="60.85546875" customWidth="1"/>
    <col min="11009" max="11009" width="3.42578125" customWidth="1"/>
    <col min="11015" max="11015" width="10" customWidth="1"/>
    <col min="11017" max="11017" width="62.42578125" customWidth="1"/>
    <col min="11018" max="11018" width="0.42578125" customWidth="1"/>
    <col min="11019" max="11019" width="4.42578125" customWidth="1"/>
    <col min="11025" max="11025" width="10.28515625" customWidth="1"/>
    <col min="11027" max="11027" width="60.85546875" customWidth="1"/>
    <col min="11265" max="11265" width="3.42578125" customWidth="1"/>
    <col min="11271" max="11271" width="10" customWidth="1"/>
    <col min="11273" max="11273" width="62.42578125" customWidth="1"/>
    <col min="11274" max="11274" width="0.42578125" customWidth="1"/>
    <col min="11275" max="11275" width="4.42578125" customWidth="1"/>
    <col min="11281" max="11281" width="10.28515625" customWidth="1"/>
    <col min="11283" max="11283" width="60.85546875" customWidth="1"/>
    <col min="11521" max="11521" width="3.42578125" customWidth="1"/>
    <col min="11527" max="11527" width="10" customWidth="1"/>
    <col min="11529" max="11529" width="62.42578125" customWidth="1"/>
    <col min="11530" max="11530" width="0.42578125" customWidth="1"/>
    <col min="11531" max="11531" width="4.42578125" customWidth="1"/>
    <col min="11537" max="11537" width="10.28515625" customWidth="1"/>
    <col min="11539" max="11539" width="60.85546875" customWidth="1"/>
    <col min="11777" max="11777" width="3.42578125" customWidth="1"/>
    <col min="11783" max="11783" width="10" customWidth="1"/>
    <col min="11785" max="11785" width="62.42578125" customWidth="1"/>
    <col min="11786" max="11786" width="0.42578125" customWidth="1"/>
    <col min="11787" max="11787" width="4.42578125" customWidth="1"/>
    <col min="11793" max="11793" width="10.28515625" customWidth="1"/>
    <col min="11795" max="11795" width="60.85546875" customWidth="1"/>
    <col min="12033" max="12033" width="3.42578125" customWidth="1"/>
    <col min="12039" max="12039" width="10" customWidth="1"/>
    <col min="12041" max="12041" width="62.42578125" customWidth="1"/>
    <col min="12042" max="12042" width="0.42578125" customWidth="1"/>
    <col min="12043" max="12043" width="4.42578125" customWidth="1"/>
    <col min="12049" max="12049" width="10.28515625" customWidth="1"/>
    <col min="12051" max="12051" width="60.85546875" customWidth="1"/>
    <col min="12289" max="12289" width="3.42578125" customWidth="1"/>
    <col min="12295" max="12295" width="10" customWidth="1"/>
    <col min="12297" max="12297" width="62.42578125" customWidth="1"/>
    <col min="12298" max="12298" width="0.42578125" customWidth="1"/>
    <col min="12299" max="12299" width="4.42578125" customWidth="1"/>
    <col min="12305" max="12305" width="10.28515625" customWidth="1"/>
    <col min="12307" max="12307" width="60.85546875" customWidth="1"/>
    <col min="12545" max="12545" width="3.42578125" customWidth="1"/>
    <col min="12551" max="12551" width="10" customWidth="1"/>
    <col min="12553" max="12553" width="62.42578125" customWidth="1"/>
    <col min="12554" max="12554" width="0.42578125" customWidth="1"/>
    <col min="12555" max="12555" width="4.42578125" customWidth="1"/>
    <col min="12561" max="12561" width="10.28515625" customWidth="1"/>
    <col min="12563" max="12563" width="60.85546875" customWidth="1"/>
    <col min="12801" max="12801" width="3.42578125" customWidth="1"/>
    <col min="12807" max="12807" width="10" customWidth="1"/>
    <col min="12809" max="12809" width="62.42578125" customWidth="1"/>
    <col min="12810" max="12810" width="0.42578125" customWidth="1"/>
    <col min="12811" max="12811" width="4.42578125" customWidth="1"/>
    <col min="12817" max="12817" width="10.28515625" customWidth="1"/>
    <col min="12819" max="12819" width="60.85546875" customWidth="1"/>
    <col min="13057" max="13057" width="3.42578125" customWidth="1"/>
    <col min="13063" max="13063" width="10" customWidth="1"/>
    <col min="13065" max="13065" width="62.42578125" customWidth="1"/>
    <col min="13066" max="13066" width="0.42578125" customWidth="1"/>
    <col min="13067" max="13067" width="4.42578125" customWidth="1"/>
    <col min="13073" max="13073" width="10.28515625" customWidth="1"/>
    <col min="13075" max="13075" width="60.85546875" customWidth="1"/>
    <col min="13313" max="13313" width="3.42578125" customWidth="1"/>
    <col min="13319" max="13319" width="10" customWidth="1"/>
    <col min="13321" max="13321" width="62.42578125" customWidth="1"/>
    <col min="13322" max="13322" width="0.42578125" customWidth="1"/>
    <col min="13323" max="13323" width="4.42578125" customWidth="1"/>
    <col min="13329" max="13329" width="10.28515625" customWidth="1"/>
    <col min="13331" max="13331" width="60.85546875" customWidth="1"/>
    <col min="13569" max="13569" width="3.42578125" customWidth="1"/>
    <col min="13575" max="13575" width="10" customWidth="1"/>
    <col min="13577" max="13577" width="62.42578125" customWidth="1"/>
    <col min="13578" max="13578" width="0.42578125" customWidth="1"/>
    <col min="13579" max="13579" width="4.42578125" customWidth="1"/>
    <col min="13585" max="13585" width="10.28515625" customWidth="1"/>
    <col min="13587" max="13587" width="60.85546875" customWidth="1"/>
    <col min="13825" max="13825" width="3.42578125" customWidth="1"/>
    <col min="13831" max="13831" width="10" customWidth="1"/>
    <col min="13833" max="13833" width="62.42578125" customWidth="1"/>
    <col min="13834" max="13834" width="0.42578125" customWidth="1"/>
    <col min="13835" max="13835" width="4.42578125" customWidth="1"/>
    <col min="13841" max="13841" width="10.28515625" customWidth="1"/>
    <col min="13843" max="13843" width="60.85546875" customWidth="1"/>
    <col min="14081" max="14081" width="3.42578125" customWidth="1"/>
    <col min="14087" max="14087" width="10" customWidth="1"/>
    <col min="14089" max="14089" width="62.42578125" customWidth="1"/>
    <col min="14090" max="14090" width="0.42578125" customWidth="1"/>
    <col min="14091" max="14091" width="4.42578125" customWidth="1"/>
    <col min="14097" max="14097" width="10.28515625" customWidth="1"/>
    <col min="14099" max="14099" width="60.85546875" customWidth="1"/>
    <col min="14337" max="14337" width="3.42578125" customWidth="1"/>
    <col min="14343" max="14343" width="10" customWidth="1"/>
    <col min="14345" max="14345" width="62.42578125" customWidth="1"/>
    <col min="14346" max="14346" width="0.42578125" customWidth="1"/>
    <col min="14347" max="14347" width="4.42578125" customWidth="1"/>
    <col min="14353" max="14353" width="10.28515625" customWidth="1"/>
    <col min="14355" max="14355" width="60.85546875" customWidth="1"/>
    <col min="14593" max="14593" width="3.42578125" customWidth="1"/>
    <col min="14599" max="14599" width="10" customWidth="1"/>
    <col min="14601" max="14601" width="62.42578125" customWidth="1"/>
    <col min="14602" max="14602" width="0.42578125" customWidth="1"/>
    <col min="14603" max="14603" width="4.42578125" customWidth="1"/>
    <col min="14609" max="14609" width="10.28515625" customWidth="1"/>
    <col min="14611" max="14611" width="60.85546875" customWidth="1"/>
    <col min="14849" max="14849" width="3.42578125" customWidth="1"/>
    <col min="14855" max="14855" width="10" customWidth="1"/>
    <col min="14857" max="14857" width="62.42578125" customWidth="1"/>
    <col min="14858" max="14858" width="0.42578125" customWidth="1"/>
    <col min="14859" max="14859" width="4.42578125" customWidth="1"/>
    <col min="14865" max="14865" width="10.28515625" customWidth="1"/>
    <col min="14867" max="14867" width="60.85546875" customWidth="1"/>
    <col min="15105" max="15105" width="3.42578125" customWidth="1"/>
    <col min="15111" max="15111" width="10" customWidth="1"/>
    <col min="15113" max="15113" width="62.42578125" customWidth="1"/>
    <col min="15114" max="15114" width="0.42578125" customWidth="1"/>
    <col min="15115" max="15115" width="4.42578125" customWidth="1"/>
    <col min="15121" max="15121" width="10.28515625" customWidth="1"/>
    <col min="15123" max="15123" width="60.85546875" customWidth="1"/>
    <col min="15361" max="15361" width="3.42578125" customWidth="1"/>
    <col min="15367" max="15367" width="10" customWidth="1"/>
    <col min="15369" max="15369" width="62.42578125" customWidth="1"/>
    <col min="15370" max="15370" width="0.42578125" customWidth="1"/>
    <col min="15371" max="15371" width="4.42578125" customWidth="1"/>
    <col min="15377" max="15377" width="10.28515625" customWidth="1"/>
    <col min="15379" max="15379" width="60.85546875" customWidth="1"/>
    <col min="15617" max="15617" width="3.42578125" customWidth="1"/>
    <col min="15623" max="15623" width="10" customWidth="1"/>
    <col min="15625" max="15625" width="62.42578125" customWidth="1"/>
    <col min="15626" max="15626" width="0.42578125" customWidth="1"/>
    <col min="15627" max="15627" width="4.42578125" customWidth="1"/>
    <col min="15633" max="15633" width="10.28515625" customWidth="1"/>
    <col min="15635" max="15635" width="60.85546875" customWidth="1"/>
    <col min="15873" max="15873" width="3.42578125" customWidth="1"/>
    <col min="15879" max="15879" width="10" customWidth="1"/>
    <col min="15881" max="15881" width="62.42578125" customWidth="1"/>
    <col min="15882" max="15882" width="0.42578125" customWidth="1"/>
    <col min="15883" max="15883" width="4.42578125" customWidth="1"/>
    <col min="15889" max="15889" width="10.28515625" customWidth="1"/>
    <col min="15891" max="15891" width="60.85546875" customWidth="1"/>
    <col min="16129" max="16129" width="3.42578125" customWidth="1"/>
    <col min="16135" max="16135" width="10" customWidth="1"/>
    <col min="16137" max="16137" width="62.42578125" customWidth="1"/>
    <col min="16138" max="16138" width="0.42578125" customWidth="1"/>
    <col min="16139" max="16139" width="4.42578125" customWidth="1"/>
    <col min="16145" max="16145" width="10.28515625" customWidth="1"/>
    <col min="16147" max="16147" width="60.8554687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306</v>
      </c>
      <c r="E2" s="3"/>
      <c r="F2" s="3"/>
      <c r="G2" s="3"/>
      <c r="H2" s="3"/>
      <c r="I2" s="3"/>
      <c r="K2" s="3" t="s">
        <v>205</v>
      </c>
      <c r="L2" s="3"/>
      <c r="M2" s="3"/>
      <c r="N2" s="3" t="s">
        <v>307</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4257.8</v>
      </c>
      <c r="G4" s="3" t="s">
        <v>207</v>
      </c>
      <c r="H4" s="65"/>
      <c r="I4" s="3"/>
      <c r="J4" s="3"/>
      <c r="K4" s="3"/>
      <c r="L4" s="5" t="s">
        <v>206</v>
      </c>
      <c r="M4" s="3"/>
      <c r="N4" s="3"/>
      <c r="O4" s="3"/>
      <c r="P4" s="3">
        <v>4458.5</v>
      </c>
      <c r="Q4" s="3" t="s">
        <v>207</v>
      </c>
      <c r="R4" s="3"/>
      <c r="S4" s="3"/>
    </row>
    <row r="5" spans="1:19" ht="15" customHeight="1" x14ac:dyDescent="0.25">
      <c r="A5" s="175" t="s">
        <v>209</v>
      </c>
      <c r="B5" s="177" t="s">
        <v>210</v>
      </c>
      <c r="C5" s="178"/>
      <c r="D5" s="178"/>
      <c r="E5" s="178"/>
      <c r="F5" s="178"/>
      <c r="G5" s="180" t="s">
        <v>441</v>
      </c>
      <c r="H5" s="181"/>
      <c r="I5" s="175" t="s">
        <v>212</v>
      </c>
      <c r="J5" s="31"/>
      <c r="K5" s="175" t="s">
        <v>209</v>
      </c>
      <c r="L5" s="177" t="s">
        <v>210</v>
      </c>
      <c r="M5" s="178"/>
      <c r="N5" s="178"/>
      <c r="O5" s="178"/>
      <c r="P5" s="178"/>
      <c r="Q5" s="180" t="s">
        <v>441</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172368.52</v>
      </c>
      <c r="H7" s="191"/>
      <c r="I7" s="192"/>
      <c r="J7" s="33"/>
      <c r="K7" s="185" t="s">
        <v>213</v>
      </c>
      <c r="L7" s="187" t="s">
        <v>354</v>
      </c>
      <c r="M7" s="188"/>
      <c r="N7" s="188"/>
      <c r="O7" s="188"/>
      <c r="P7" s="188"/>
      <c r="Q7" s="190">
        <v>78984.87</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2.69*12*F4</f>
        <v>137441.78400000001</v>
      </c>
      <c r="H9" s="164"/>
      <c r="I9" s="169" t="s">
        <v>215</v>
      </c>
      <c r="J9" s="35"/>
      <c r="K9" s="6"/>
      <c r="L9" s="161" t="s">
        <v>214</v>
      </c>
      <c r="M9" s="162"/>
      <c r="N9" s="162"/>
      <c r="O9" s="162"/>
      <c r="P9" s="162"/>
      <c r="Q9" s="163">
        <f>1.71*12*P4</f>
        <v>91488.42</v>
      </c>
      <c r="R9" s="164"/>
      <c r="S9" s="169" t="s">
        <v>215</v>
      </c>
    </row>
    <row r="10" spans="1:19" ht="13.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21.75"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21.75" customHeight="1" thickBot="1" x14ac:dyDescent="0.3">
      <c r="A13" s="7"/>
      <c r="B13" s="141" t="s">
        <v>221</v>
      </c>
      <c r="C13" s="142"/>
      <c r="D13" s="142"/>
      <c r="E13" s="142"/>
      <c r="F13" s="142"/>
      <c r="G13" s="143">
        <f>0.474*12*F4</f>
        <v>24218.366399999999</v>
      </c>
      <c r="H13" s="144"/>
      <c r="I13" s="8" t="s">
        <v>222</v>
      </c>
      <c r="J13" s="38"/>
      <c r="K13" s="7"/>
      <c r="L13" s="141" t="s">
        <v>221</v>
      </c>
      <c r="M13" s="142"/>
      <c r="N13" s="142"/>
      <c r="O13" s="142"/>
      <c r="P13" s="142"/>
      <c r="Q13" s="143">
        <f>0.474*12*P4</f>
        <v>25359.948</v>
      </c>
      <c r="R13" s="144"/>
      <c r="S13" s="8" t="s">
        <v>222</v>
      </c>
    </row>
    <row r="14" spans="1:19" ht="13.5" customHeight="1" x14ac:dyDescent="0.25">
      <c r="A14" s="9"/>
      <c r="B14" s="145" t="s">
        <v>223</v>
      </c>
      <c r="C14" s="146"/>
      <c r="D14" s="146"/>
      <c r="E14" s="146"/>
      <c r="F14" s="146"/>
      <c r="G14" s="86">
        <f>2.89*12*F4</f>
        <v>147660.50400000002</v>
      </c>
      <c r="H14" s="147"/>
      <c r="I14" s="152" t="s">
        <v>224</v>
      </c>
      <c r="J14" s="38"/>
      <c r="K14" s="9"/>
      <c r="L14" s="145" t="s">
        <v>223</v>
      </c>
      <c r="M14" s="146"/>
      <c r="N14" s="146"/>
      <c r="O14" s="146"/>
      <c r="P14" s="146"/>
      <c r="Q14" s="86">
        <f>1.9*12*P4</f>
        <v>101653.79999999999</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0.048*12*F4</f>
        <v>2452.4928000000004</v>
      </c>
      <c r="H18" s="87"/>
      <c r="I18" s="129" t="s">
        <v>220</v>
      </c>
      <c r="J18" s="36"/>
      <c r="K18" s="12"/>
      <c r="L18" s="125" t="s">
        <v>230</v>
      </c>
      <c r="M18" s="126"/>
      <c r="N18" s="126"/>
      <c r="O18" s="126"/>
      <c r="P18" s="126"/>
      <c r="Q18" s="86">
        <f>0.048*12*P4</f>
        <v>2568.0960000000005</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57.75" customHeight="1" thickBot="1" x14ac:dyDescent="0.3">
      <c r="A21" s="13"/>
      <c r="B21" s="84" t="s">
        <v>233</v>
      </c>
      <c r="C21" s="85"/>
      <c r="D21" s="85"/>
      <c r="E21" s="85"/>
      <c r="F21" s="85"/>
      <c r="G21" s="86">
        <f>3.52*12*F4</f>
        <v>179849.47200000001</v>
      </c>
      <c r="H21" s="87"/>
      <c r="I21" s="317" t="s">
        <v>520</v>
      </c>
      <c r="J21" s="41"/>
      <c r="K21" s="13"/>
      <c r="L21" s="84" t="s">
        <v>233</v>
      </c>
      <c r="M21" s="85"/>
      <c r="N21" s="85"/>
      <c r="O21" s="85"/>
      <c r="P21" s="85"/>
      <c r="Q21" s="86">
        <f>2*12*P4</f>
        <v>107004</v>
      </c>
      <c r="R21" s="87"/>
      <c r="S21" s="317" t="s">
        <v>522</v>
      </c>
    </row>
    <row r="22" spans="1:19" ht="64.5" customHeight="1" x14ac:dyDescent="0.25">
      <c r="A22" s="118"/>
      <c r="B22" s="121" t="s">
        <v>226</v>
      </c>
      <c r="C22" s="122"/>
      <c r="D22" s="122"/>
      <c r="E22" s="122"/>
      <c r="F22" s="122"/>
      <c r="G22" s="88"/>
      <c r="H22" s="89"/>
      <c r="I22" s="318"/>
      <c r="J22" s="41"/>
      <c r="K22" s="118"/>
      <c r="L22" s="121" t="s">
        <v>226</v>
      </c>
      <c r="M22" s="122"/>
      <c r="N22" s="122"/>
      <c r="O22" s="122"/>
      <c r="P22" s="122"/>
      <c r="Q22" s="88"/>
      <c r="R22" s="89"/>
      <c r="S22" s="318"/>
    </row>
    <row r="23" spans="1:19" ht="59.25" customHeight="1" x14ac:dyDescent="0.25">
      <c r="A23" s="119"/>
      <c r="B23" s="121" t="s">
        <v>227</v>
      </c>
      <c r="C23" s="122"/>
      <c r="D23" s="122"/>
      <c r="E23" s="122"/>
      <c r="F23" s="122"/>
      <c r="G23" s="88"/>
      <c r="H23" s="89"/>
      <c r="I23" s="318"/>
      <c r="J23" s="42"/>
      <c r="K23" s="119"/>
      <c r="L23" s="121" t="s">
        <v>227</v>
      </c>
      <c r="M23" s="122"/>
      <c r="N23" s="122"/>
      <c r="O23" s="122"/>
      <c r="P23" s="122"/>
      <c r="Q23" s="88"/>
      <c r="R23" s="89"/>
      <c r="S23" s="318"/>
    </row>
    <row r="24" spans="1:19" ht="55.5" customHeight="1" x14ac:dyDescent="0.25">
      <c r="A24" s="119"/>
      <c r="B24" s="121" t="s">
        <v>228</v>
      </c>
      <c r="C24" s="122"/>
      <c r="D24" s="122"/>
      <c r="E24" s="122"/>
      <c r="F24" s="122"/>
      <c r="G24" s="88"/>
      <c r="H24" s="89"/>
      <c r="I24" s="318"/>
      <c r="J24" s="43"/>
      <c r="K24" s="119"/>
      <c r="L24" s="121" t="s">
        <v>228</v>
      </c>
      <c r="M24" s="122"/>
      <c r="N24" s="122"/>
      <c r="O24" s="122"/>
      <c r="P24" s="122"/>
      <c r="Q24" s="88"/>
      <c r="R24" s="89"/>
      <c r="S24" s="318"/>
    </row>
    <row r="25" spans="1:19" ht="69.95" customHeight="1" thickBot="1" x14ac:dyDescent="0.3">
      <c r="A25" s="120"/>
      <c r="B25" s="123" t="s">
        <v>234</v>
      </c>
      <c r="C25" s="124"/>
      <c r="D25" s="124"/>
      <c r="E25" s="124"/>
      <c r="F25" s="124"/>
      <c r="G25" s="90"/>
      <c r="H25" s="91"/>
      <c r="I25" s="319"/>
      <c r="J25" s="44"/>
      <c r="K25" s="120"/>
      <c r="L25" s="123" t="s">
        <v>234</v>
      </c>
      <c r="M25" s="124"/>
      <c r="N25" s="124"/>
      <c r="O25" s="124"/>
      <c r="P25" s="124"/>
      <c r="Q25" s="90"/>
      <c r="R25" s="91"/>
      <c r="S25" s="319"/>
    </row>
    <row r="26" spans="1:19" ht="3" customHeight="1" thickBot="1" x14ac:dyDescent="0.3">
      <c r="A26" s="15"/>
      <c r="B26" s="137"/>
      <c r="C26" s="138"/>
      <c r="D26" s="138"/>
      <c r="E26" s="138"/>
      <c r="F26" s="138"/>
      <c r="G26" s="139"/>
      <c r="H26" s="140"/>
      <c r="I26" s="16"/>
      <c r="J26" s="40"/>
      <c r="K26" s="15"/>
      <c r="L26" s="137"/>
      <c r="M26" s="138"/>
      <c r="N26" s="138"/>
      <c r="O26" s="138"/>
      <c r="P26" s="138"/>
      <c r="Q26" s="139"/>
      <c r="R26" s="140"/>
      <c r="S26" s="16"/>
    </row>
    <row r="27" spans="1:19" ht="33" customHeight="1" thickBot="1" x14ac:dyDescent="0.3">
      <c r="A27" s="15"/>
      <c r="B27" s="137" t="s">
        <v>235</v>
      </c>
      <c r="C27" s="138"/>
      <c r="D27" s="138"/>
      <c r="E27" s="138"/>
      <c r="F27" s="138"/>
      <c r="G27" s="139"/>
      <c r="H27" s="140"/>
      <c r="I27" s="16"/>
      <c r="J27" s="45"/>
      <c r="K27" s="15"/>
      <c r="L27" s="137" t="s">
        <v>235</v>
      </c>
      <c r="M27" s="138"/>
      <c r="N27" s="138"/>
      <c r="O27" s="138"/>
      <c r="P27" s="138"/>
      <c r="Q27" s="139"/>
      <c r="R27" s="140"/>
      <c r="S27" s="16"/>
    </row>
    <row r="28" spans="1:19" ht="26.25" customHeight="1" thickBot="1" x14ac:dyDescent="0.3">
      <c r="A28" s="17"/>
      <c r="B28" s="78" t="s">
        <v>237</v>
      </c>
      <c r="C28" s="79"/>
      <c r="D28" s="79"/>
      <c r="E28" s="79"/>
      <c r="F28" s="79"/>
      <c r="G28" s="86">
        <v>13156</v>
      </c>
      <c r="H28" s="87"/>
      <c r="I28" s="108" t="s">
        <v>229</v>
      </c>
      <c r="J28" s="41"/>
      <c r="K28" s="17"/>
      <c r="L28" s="78" t="s">
        <v>237</v>
      </c>
      <c r="M28" s="79"/>
      <c r="N28" s="79"/>
      <c r="O28" s="79"/>
      <c r="P28" s="79"/>
      <c r="Q28" s="86">
        <v>3420</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504778.61920000002</v>
      </c>
      <c r="H30" s="115"/>
      <c r="I30" s="20"/>
      <c r="J30" s="47"/>
      <c r="K30" s="19"/>
      <c r="L30" s="112" t="s">
        <v>239</v>
      </c>
      <c r="M30" s="113"/>
      <c r="N30" s="113"/>
      <c r="O30" s="113"/>
      <c r="P30" s="113"/>
      <c r="Q30" s="114">
        <f>SUM(Q9:R29)</f>
        <v>331494.26399999997</v>
      </c>
      <c r="R30" s="115"/>
      <c r="S30" s="20"/>
    </row>
    <row r="31" spans="1:19" ht="14.25" customHeight="1" thickBot="1" x14ac:dyDescent="0.3">
      <c r="A31" s="21"/>
      <c r="B31" s="101" t="s">
        <v>240</v>
      </c>
      <c r="C31" s="102"/>
      <c r="D31" s="102"/>
      <c r="E31" s="102"/>
      <c r="F31" s="102"/>
      <c r="G31" s="116">
        <f>G30*1.2</f>
        <v>605734.34303999995</v>
      </c>
      <c r="H31" s="117"/>
      <c r="I31" s="22"/>
      <c r="J31" s="47"/>
      <c r="K31" s="21"/>
      <c r="L31" s="101" t="s">
        <v>240</v>
      </c>
      <c r="M31" s="102"/>
      <c r="N31" s="102"/>
      <c r="O31" s="102"/>
      <c r="P31" s="102"/>
      <c r="Q31" s="116">
        <f>Q30*1.2</f>
        <v>397793.11679999996</v>
      </c>
      <c r="R31" s="117"/>
      <c r="S31" s="22"/>
    </row>
    <row r="32" spans="1:19" ht="15.75" customHeight="1" thickBot="1" x14ac:dyDescent="0.3">
      <c r="A32" s="24"/>
      <c r="B32" s="96" t="s">
        <v>443</v>
      </c>
      <c r="C32" s="97"/>
      <c r="D32" s="97"/>
      <c r="E32" s="97"/>
      <c r="F32" s="97"/>
      <c r="G32" s="311">
        <v>692306.44</v>
      </c>
      <c r="H32" s="312"/>
      <c r="I32" s="313"/>
      <c r="J32" s="47"/>
      <c r="K32" s="24"/>
      <c r="L32" s="96" t="s">
        <v>443</v>
      </c>
      <c r="M32" s="97"/>
      <c r="N32" s="97"/>
      <c r="O32" s="97"/>
      <c r="P32" s="97"/>
      <c r="Q32" s="311">
        <v>400801.02</v>
      </c>
      <c r="R32" s="312"/>
      <c r="S32" s="313"/>
    </row>
    <row r="33" spans="1:19" ht="15.75" thickBot="1" x14ac:dyDescent="0.3">
      <c r="A33" s="19"/>
      <c r="B33" s="101" t="s">
        <v>242</v>
      </c>
      <c r="C33" s="102"/>
      <c r="D33" s="102"/>
      <c r="E33" s="102"/>
      <c r="F33" s="102"/>
      <c r="G33" s="307">
        <v>712599.13</v>
      </c>
      <c r="H33" s="308"/>
      <c r="I33" s="309"/>
      <c r="J33" s="48"/>
      <c r="K33" s="19"/>
      <c r="L33" s="101" t="s">
        <v>242</v>
      </c>
      <c r="M33" s="102"/>
      <c r="N33" s="102"/>
      <c r="O33" s="102"/>
      <c r="P33" s="102"/>
      <c r="Q33" s="307">
        <v>393618.08</v>
      </c>
      <c r="R33" s="308"/>
      <c r="S33" s="309"/>
    </row>
    <row r="34" spans="1:19" ht="15.75" customHeight="1" thickBot="1" x14ac:dyDescent="0.3">
      <c r="A34" s="19"/>
      <c r="B34" s="106" t="s">
        <v>444</v>
      </c>
      <c r="C34" s="107"/>
      <c r="D34" s="107"/>
      <c r="E34" s="107"/>
      <c r="F34" s="107"/>
      <c r="G34" s="307">
        <v>152075.82999999999</v>
      </c>
      <c r="H34" s="308"/>
      <c r="I34" s="309"/>
      <c r="J34" s="49"/>
      <c r="K34" s="19"/>
      <c r="L34" s="106" t="s">
        <v>444</v>
      </c>
      <c r="M34" s="107"/>
      <c r="N34" s="107"/>
      <c r="O34" s="107"/>
      <c r="P34" s="107"/>
      <c r="Q34" s="307">
        <v>86167.81</v>
      </c>
      <c r="R34" s="308"/>
      <c r="S34" s="309"/>
    </row>
    <row r="35" spans="1:19" ht="24.95" customHeight="1" x14ac:dyDescent="0.25">
      <c r="A35" s="4"/>
      <c r="B35" s="195"/>
      <c r="C35" s="195"/>
      <c r="D35" s="195"/>
      <c r="E35" s="195"/>
      <c r="F35" s="195"/>
      <c r="G35" s="195"/>
      <c r="H35" s="195"/>
      <c r="I35" s="195"/>
      <c r="K35" s="4"/>
      <c r="L35" s="310" t="s">
        <v>521</v>
      </c>
      <c r="M35" s="310"/>
      <c r="N35" s="310"/>
      <c r="O35" s="310"/>
      <c r="P35" s="310"/>
      <c r="Q35" s="310"/>
      <c r="R35" s="310"/>
      <c r="S35" s="310"/>
    </row>
    <row r="36" spans="1:19" ht="15.75" x14ac:dyDescent="0.25">
      <c r="A36" s="30"/>
      <c r="C36" s="30"/>
      <c r="K36" s="30"/>
      <c r="N36" s="30"/>
    </row>
    <row r="37" spans="1:19" ht="15.75" x14ac:dyDescent="0.25">
      <c r="A37" s="30"/>
      <c r="C37" s="30"/>
      <c r="K37" s="30"/>
      <c r="N37" s="30"/>
    </row>
    <row r="38" spans="1:19" x14ac:dyDescent="0.25">
      <c r="A38" s="3"/>
      <c r="B38" s="3"/>
      <c r="C38" s="3"/>
      <c r="D38" s="3"/>
      <c r="E38" s="4" t="s">
        <v>204</v>
      </c>
      <c r="F38" s="3"/>
      <c r="G38" s="3"/>
      <c r="H38" s="3"/>
      <c r="I38" s="3"/>
      <c r="K38" s="3"/>
      <c r="L38" s="3"/>
      <c r="M38" s="3"/>
      <c r="N38" s="3"/>
      <c r="O38" s="4" t="s">
        <v>204</v>
      </c>
      <c r="P38" s="3"/>
      <c r="Q38" s="3"/>
      <c r="R38" s="3"/>
      <c r="S38" s="3"/>
    </row>
    <row r="39" spans="1:19" x14ac:dyDescent="0.25">
      <c r="A39" s="3" t="s">
        <v>205</v>
      </c>
      <c r="B39" s="3"/>
      <c r="C39" s="3"/>
      <c r="D39" s="3" t="s">
        <v>308</v>
      </c>
      <c r="E39" s="3"/>
      <c r="F39" s="3"/>
      <c r="G39" s="3"/>
      <c r="H39" s="3"/>
      <c r="I39" s="3"/>
      <c r="K39" s="3" t="s">
        <v>205</v>
      </c>
      <c r="L39" s="3"/>
      <c r="M39" s="3"/>
      <c r="N39" s="3" t="s">
        <v>309</v>
      </c>
      <c r="O39" s="3"/>
      <c r="P39" s="3"/>
      <c r="Q39" s="3"/>
      <c r="R39" s="3"/>
      <c r="S39" s="3"/>
    </row>
    <row r="40" spans="1:19" x14ac:dyDescent="0.25">
      <c r="A40" s="3"/>
      <c r="B40" s="5" t="s">
        <v>440</v>
      </c>
      <c r="C40" s="3"/>
      <c r="D40" s="3"/>
      <c r="E40" s="3"/>
      <c r="F40" s="3"/>
      <c r="G40" s="3"/>
      <c r="H40" s="3"/>
      <c r="I40" s="3"/>
      <c r="J40" s="3"/>
      <c r="K40" s="3"/>
      <c r="L40" s="5" t="s">
        <v>440</v>
      </c>
      <c r="M40" s="3"/>
      <c r="N40" s="3"/>
      <c r="O40" s="3"/>
      <c r="P40" s="3"/>
      <c r="Q40" s="3"/>
      <c r="R40" s="3"/>
      <c r="S40" s="3"/>
    </row>
    <row r="41" spans="1:19" ht="15.75" thickBot="1" x14ac:dyDescent="0.3">
      <c r="A41" s="3"/>
      <c r="B41" s="5" t="s">
        <v>206</v>
      </c>
      <c r="C41" s="3"/>
      <c r="D41" s="3"/>
      <c r="E41" s="3"/>
      <c r="F41" s="3">
        <v>3271.8</v>
      </c>
      <c r="G41" s="3" t="s">
        <v>207</v>
      </c>
      <c r="H41" s="65"/>
      <c r="I41" s="3"/>
      <c r="J41" s="3"/>
      <c r="K41" s="3"/>
      <c r="L41" s="5" t="s">
        <v>206</v>
      </c>
      <c r="M41" s="3"/>
      <c r="N41" s="3"/>
      <c r="O41" s="3"/>
      <c r="P41" s="3">
        <v>3304.6</v>
      </c>
      <c r="Q41" s="3" t="s">
        <v>207</v>
      </c>
      <c r="R41" s="3"/>
      <c r="S41" s="3"/>
    </row>
    <row r="42" spans="1:19" ht="15" customHeight="1" x14ac:dyDescent="0.25">
      <c r="A42" s="175" t="s">
        <v>209</v>
      </c>
      <c r="B42" s="177" t="s">
        <v>210</v>
      </c>
      <c r="C42" s="178"/>
      <c r="D42" s="178"/>
      <c r="E42" s="178"/>
      <c r="F42" s="178"/>
      <c r="G42" s="180" t="s">
        <v>441</v>
      </c>
      <c r="H42" s="181"/>
      <c r="I42" s="175" t="s">
        <v>212</v>
      </c>
      <c r="J42" s="51"/>
      <c r="K42" s="175" t="s">
        <v>209</v>
      </c>
      <c r="L42" s="177" t="s">
        <v>210</v>
      </c>
      <c r="M42" s="178"/>
      <c r="N42" s="178"/>
      <c r="O42" s="178"/>
      <c r="P42" s="178"/>
      <c r="Q42" s="180" t="s">
        <v>441</v>
      </c>
      <c r="R42" s="181"/>
      <c r="S42" s="175" t="s">
        <v>212</v>
      </c>
    </row>
    <row r="43" spans="1:19" ht="69" customHeight="1" thickBot="1" x14ac:dyDescent="0.3">
      <c r="A43" s="176"/>
      <c r="B43" s="179"/>
      <c r="C43" s="179"/>
      <c r="D43" s="179"/>
      <c r="E43" s="179"/>
      <c r="F43" s="179"/>
      <c r="G43" s="182"/>
      <c r="H43" s="183"/>
      <c r="I43" s="184"/>
      <c r="J43" s="52"/>
      <c r="K43" s="176"/>
      <c r="L43" s="179"/>
      <c r="M43" s="179"/>
      <c r="N43" s="179"/>
      <c r="O43" s="179"/>
      <c r="P43" s="179"/>
      <c r="Q43" s="182"/>
      <c r="R43" s="183"/>
      <c r="S43" s="184"/>
    </row>
    <row r="44" spans="1:19" ht="15" customHeight="1" x14ac:dyDescent="0.25">
      <c r="A44" s="185" t="s">
        <v>213</v>
      </c>
      <c r="B44" s="187" t="s">
        <v>354</v>
      </c>
      <c r="C44" s="188"/>
      <c r="D44" s="188"/>
      <c r="E44" s="188"/>
      <c r="F44" s="188"/>
      <c r="G44" s="190">
        <v>61155.16</v>
      </c>
      <c r="H44" s="191"/>
      <c r="I44" s="192"/>
      <c r="J44" s="53"/>
      <c r="K44" s="185" t="s">
        <v>213</v>
      </c>
      <c r="L44" s="187" t="s">
        <v>354</v>
      </c>
      <c r="M44" s="188"/>
      <c r="N44" s="188"/>
      <c r="O44" s="188"/>
      <c r="P44" s="188"/>
      <c r="Q44" s="190">
        <v>64730.19</v>
      </c>
      <c r="R44" s="191"/>
      <c r="S44" s="192"/>
    </row>
    <row r="45" spans="1:19" ht="7.5" customHeight="1" thickBot="1" x14ac:dyDescent="0.3">
      <c r="A45" s="186"/>
      <c r="B45" s="189"/>
      <c r="C45" s="189"/>
      <c r="D45" s="189"/>
      <c r="E45" s="189"/>
      <c r="F45" s="189"/>
      <c r="G45" s="193"/>
      <c r="H45" s="194"/>
      <c r="I45" s="128"/>
      <c r="J45" s="54"/>
      <c r="K45" s="186"/>
      <c r="L45" s="189"/>
      <c r="M45" s="189"/>
      <c r="N45" s="189"/>
      <c r="O45" s="189"/>
      <c r="P45" s="189"/>
      <c r="Q45" s="193"/>
      <c r="R45" s="194"/>
      <c r="S45" s="128"/>
    </row>
    <row r="46" spans="1:19" ht="17.25" customHeight="1" x14ac:dyDescent="0.25">
      <c r="A46" s="6"/>
      <c r="B46" s="161" t="s">
        <v>214</v>
      </c>
      <c r="C46" s="162"/>
      <c r="D46" s="162"/>
      <c r="E46" s="162"/>
      <c r="F46" s="162"/>
      <c r="G46" s="163">
        <f>1.89*12*F41</f>
        <v>74204.423999999999</v>
      </c>
      <c r="H46" s="164"/>
      <c r="I46" s="169" t="s">
        <v>215</v>
      </c>
      <c r="J46" s="42"/>
      <c r="K46" s="6"/>
      <c r="L46" s="161" t="s">
        <v>214</v>
      </c>
      <c r="M46" s="162"/>
      <c r="N46" s="162"/>
      <c r="O46" s="162"/>
      <c r="P46" s="162"/>
      <c r="Q46" s="163">
        <f>1.59*P41*12</f>
        <v>63051.768000000004</v>
      </c>
      <c r="R46" s="164"/>
      <c r="S46" s="169" t="s">
        <v>215</v>
      </c>
    </row>
    <row r="47" spans="1:19" ht="13.5" customHeight="1" thickBot="1" x14ac:dyDescent="0.3">
      <c r="A47" s="7"/>
      <c r="B47" s="171" t="s">
        <v>216</v>
      </c>
      <c r="C47" s="172"/>
      <c r="D47" s="172"/>
      <c r="E47" s="172"/>
      <c r="F47" s="172"/>
      <c r="G47" s="165"/>
      <c r="H47" s="166"/>
      <c r="I47" s="170"/>
      <c r="J47" s="43"/>
      <c r="K47" s="7"/>
      <c r="L47" s="171" t="s">
        <v>216</v>
      </c>
      <c r="M47" s="172"/>
      <c r="N47" s="172"/>
      <c r="O47" s="172"/>
      <c r="P47" s="172"/>
      <c r="Q47" s="165"/>
      <c r="R47" s="166"/>
      <c r="S47" s="170"/>
    </row>
    <row r="48" spans="1:19" ht="13.5" customHeight="1" thickBot="1" x14ac:dyDescent="0.3">
      <c r="A48" s="7"/>
      <c r="B48" s="173" t="s">
        <v>217</v>
      </c>
      <c r="C48" s="174"/>
      <c r="D48" s="174"/>
      <c r="E48" s="174"/>
      <c r="F48" s="174"/>
      <c r="G48" s="167"/>
      <c r="H48" s="168"/>
      <c r="I48" s="8" t="s">
        <v>218</v>
      </c>
      <c r="J48" s="43"/>
      <c r="K48" s="7"/>
      <c r="L48" s="173" t="s">
        <v>217</v>
      </c>
      <c r="M48" s="174"/>
      <c r="N48" s="174"/>
      <c r="O48" s="174"/>
      <c r="P48" s="174"/>
      <c r="Q48" s="167"/>
      <c r="R48" s="168"/>
      <c r="S48" s="8" t="s">
        <v>218</v>
      </c>
    </row>
    <row r="49" spans="1:19" ht="24" customHeight="1" thickBot="1" x14ac:dyDescent="0.3">
      <c r="A49" s="7"/>
      <c r="B49" s="141" t="s">
        <v>219</v>
      </c>
      <c r="C49" s="142"/>
      <c r="D49" s="142"/>
      <c r="E49" s="142"/>
      <c r="F49" s="142"/>
      <c r="G49" s="143">
        <v>0</v>
      </c>
      <c r="H49" s="144"/>
      <c r="I49" s="8" t="s">
        <v>220</v>
      </c>
      <c r="J49" s="55"/>
      <c r="K49" s="7"/>
      <c r="L49" s="141" t="s">
        <v>219</v>
      </c>
      <c r="M49" s="142"/>
      <c r="N49" s="142"/>
      <c r="O49" s="142"/>
      <c r="P49" s="142"/>
      <c r="Q49" s="143"/>
      <c r="R49" s="144"/>
      <c r="S49" s="8" t="s">
        <v>220</v>
      </c>
    </row>
    <row r="50" spans="1:19" ht="24" customHeight="1" thickBot="1" x14ac:dyDescent="0.3">
      <c r="A50" s="7"/>
      <c r="B50" s="141" t="s">
        <v>221</v>
      </c>
      <c r="C50" s="142"/>
      <c r="D50" s="142"/>
      <c r="E50" s="142"/>
      <c r="F50" s="142"/>
      <c r="G50" s="143">
        <f>0.474*12*F41</f>
        <v>18609.9984</v>
      </c>
      <c r="H50" s="144"/>
      <c r="I50" s="8" t="s">
        <v>222</v>
      </c>
      <c r="J50" s="56"/>
      <c r="K50" s="7"/>
      <c r="L50" s="141" t="s">
        <v>221</v>
      </c>
      <c r="M50" s="142"/>
      <c r="N50" s="142"/>
      <c r="O50" s="142"/>
      <c r="P50" s="142"/>
      <c r="Q50" s="143"/>
      <c r="R50" s="144"/>
      <c r="S50" s="8" t="s">
        <v>222</v>
      </c>
    </row>
    <row r="51" spans="1:19" ht="13.5" customHeight="1" x14ac:dyDescent="0.25">
      <c r="A51" s="9"/>
      <c r="B51" s="145" t="s">
        <v>223</v>
      </c>
      <c r="C51" s="146"/>
      <c r="D51" s="146"/>
      <c r="E51" s="146"/>
      <c r="F51" s="146"/>
      <c r="G51" s="86">
        <f>2.19*12*F41</f>
        <v>85982.90400000001</v>
      </c>
      <c r="H51" s="147"/>
      <c r="I51" s="152" t="s">
        <v>224</v>
      </c>
      <c r="J51" s="56"/>
      <c r="K51" s="9"/>
      <c r="L51" s="145" t="s">
        <v>223</v>
      </c>
      <c r="M51" s="146"/>
      <c r="N51" s="146"/>
      <c r="O51" s="146"/>
      <c r="P51" s="146"/>
      <c r="Q51" s="86">
        <f>1.89*P41*12</f>
        <v>74948.327999999994</v>
      </c>
      <c r="R51" s="147"/>
      <c r="S51" s="152" t="s">
        <v>224</v>
      </c>
    </row>
    <row r="52" spans="1:19" ht="13.5" customHeight="1" x14ac:dyDescent="0.25">
      <c r="A52" s="10"/>
      <c r="B52" s="155" t="s">
        <v>226</v>
      </c>
      <c r="C52" s="156"/>
      <c r="D52" s="156"/>
      <c r="E52" s="156"/>
      <c r="F52" s="156"/>
      <c r="G52" s="148"/>
      <c r="H52" s="149"/>
      <c r="I52" s="153"/>
      <c r="J52" s="57"/>
      <c r="K52" s="10"/>
      <c r="L52" s="155" t="s">
        <v>226</v>
      </c>
      <c r="M52" s="156"/>
      <c r="N52" s="156"/>
      <c r="O52" s="156"/>
      <c r="P52" s="156"/>
      <c r="Q52" s="148"/>
      <c r="R52" s="149"/>
      <c r="S52" s="153"/>
    </row>
    <row r="53" spans="1:19" ht="13.5" customHeight="1" thickBot="1" x14ac:dyDescent="0.3">
      <c r="A53" s="10"/>
      <c r="B53" s="157" t="s">
        <v>227</v>
      </c>
      <c r="C53" s="158"/>
      <c r="D53" s="158"/>
      <c r="E53" s="158"/>
      <c r="F53" s="158"/>
      <c r="G53" s="148"/>
      <c r="H53" s="149"/>
      <c r="I53" s="154"/>
      <c r="J53" s="43"/>
      <c r="K53" s="10"/>
      <c r="L53" s="157" t="s">
        <v>227</v>
      </c>
      <c r="M53" s="158"/>
      <c r="N53" s="158"/>
      <c r="O53" s="158"/>
      <c r="P53" s="158"/>
      <c r="Q53" s="148"/>
      <c r="R53" s="149"/>
      <c r="S53" s="154"/>
    </row>
    <row r="54" spans="1:19" ht="13.5" customHeight="1" thickBot="1" x14ac:dyDescent="0.3">
      <c r="A54" s="10"/>
      <c r="B54" s="159" t="s">
        <v>228</v>
      </c>
      <c r="C54" s="160"/>
      <c r="D54" s="160"/>
      <c r="E54" s="160"/>
      <c r="F54" s="160"/>
      <c r="G54" s="150"/>
      <c r="H54" s="151"/>
      <c r="I54" s="11" t="s">
        <v>229</v>
      </c>
      <c r="J54" s="43"/>
      <c r="K54" s="10"/>
      <c r="L54" s="159" t="s">
        <v>228</v>
      </c>
      <c r="M54" s="160"/>
      <c r="N54" s="160"/>
      <c r="O54" s="160"/>
      <c r="P54" s="160"/>
      <c r="Q54" s="150"/>
      <c r="R54" s="151"/>
      <c r="S54" s="11" t="s">
        <v>229</v>
      </c>
    </row>
    <row r="55" spans="1:19" ht="13.5" customHeight="1" x14ac:dyDescent="0.25">
      <c r="A55" s="12"/>
      <c r="B55" s="125" t="s">
        <v>230</v>
      </c>
      <c r="C55" s="126"/>
      <c r="D55" s="126"/>
      <c r="E55" s="126"/>
      <c r="F55" s="126"/>
      <c r="G55" s="86">
        <f>0.048*12*F41</f>
        <v>1884.5568000000003</v>
      </c>
      <c r="H55" s="87"/>
      <c r="I55" s="129" t="s">
        <v>220</v>
      </c>
      <c r="J55" s="43"/>
      <c r="K55" s="12"/>
      <c r="L55" s="125" t="s">
        <v>230</v>
      </c>
      <c r="M55" s="126"/>
      <c r="N55" s="126"/>
      <c r="O55" s="126"/>
      <c r="P55" s="126"/>
      <c r="Q55" s="86">
        <f>0.048*12*P41</f>
        <v>1903.4496000000001</v>
      </c>
      <c r="R55" s="87"/>
      <c r="S55" s="129" t="s">
        <v>220</v>
      </c>
    </row>
    <row r="56" spans="1:19" ht="13.5" customHeight="1" thickBot="1" x14ac:dyDescent="0.3">
      <c r="A56" s="7"/>
      <c r="B56" s="131" t="s">
        <v>231</v>
      </c>
      <c r="C56" s="132"/>
      <c r="D56" s="132"/>
      <c r="E56" s="132"/>
      <c r="F56" s="132"/>
      <c r="G56" s="127"/>
      <c r="H56" s="128"/>
      <c r="I56" s="130"/>
      <c r="J56" s="43"/>
      <c r="K56" s="7"/>
      <c r="L56" s="131" t="s">
        <v>231</v>
      </c>
      <c r="M56" s="132"/>
      <c r="N56" s="132"/>
      <c r="O56" s="132"/>
      <c r="P56" s="132"/>
      <c r="Q56" s="127"/>
      <c r="R56" s="128"/>
      <c r="S56" s="130"/>
    </row>
    <row r="57" spans="1:19" ht="15.75" customHeight="1" thickBot="1" x14ac:dyDescent="0.3">
      <c r="A57" s="13"/>
      <c r="B57" s="133" t="s">
        <v>232</v>
      </c>
      <c r="C57" s="134"/>
      <c r="D57" s="134"/>
      <c r="E57" s="134"/>
      <c r="F57" s="134"/>
      <c r="G57" s="135"/>
      <c r="H57" s="136"/>
      <c r="I57" s="14"/>
      <c r="J57" s="58"/>
      <c r="K57" s="13"/>
      <c r="L57" s="133" t="s">
        <v>232</v>
      </c>
      <c r="M57" s="134"/>
      <c r="N57" s="134"/>
      <c r="O57" s="134"/>
      <c r="P57" s="134"/>
      <c r="Q57" s="135"/>
      <c r="R57" s="136"/>
      <c r="S57" s="14"/>
    </row>
    <row r="58" spans="1:19" ht="37.5" customHeight="1" thickBot="1" x14ac:dyDescent="0.3">
      <c r="A58" s="13"/>
      <c r="B58" s="84" t="s">
        <v>233</v>
      </c>
      <c r="C58" s="85"/>
      <c r="D58" s="85"/>
      <c r="E58" s="85"/>
      <c r="F58" s="85"/>
      <c r="G58" s="86">
        <f>2.5*12*F41</f>
        <v>98154</v>
      </c>
      <c r="H58" s="87"/>
      <c r="I58" s="317" t="s">
        <v>523</v>
      </c>
      <c r="J58" s="41"/>
      <c r="K58" s="13"/>
      <c r="L58" s="84" t="s">
        <v>233</v>
      </c>
      <c r="M58" s="85"/>
      <c r="N58" s="85"/>
      <c r="O58" s="85"/>
      <c r="P58" s="85"/>
      <c r="Q58" s="86">
        <f>1.86*12*P41</f>
        <v>73758.672000000006</v>
      </c>
      <c r="R58" s="87"/>
      <c r="S58" s="317" t="s">
        <v>524</v>
      </c>
    </row>
    <row r="59" spans="1:19" ht="49.5" customHeight="1" x14ac:dyDescent="0.25">
      <c r="A59" s="118"/>
      <c r="B59" s="121" t="s">
        <v>226</v>
      </c>
      <c r="C59" s="122"/>
      <c r="D59" s="122"/>
      <c r="E59" s="122"/>
      <c r="F59" s="122"/>
      <c r="G59" s="88"/>
      <c r="H59" s="89"/>
      <c r="I59" s="318"/>
      <c r="J59" s="41"/>
      <c r="K59" s="118"/>
      <c r="L59" s="121" t="s">
        <v>226</v>
      </c>
      <c r="M59" s="122"/>
      <c r="N59" s="122"/>
      <c r="O59" s="122"/>
      <c r="P59" s="122"/>
      <c r="Q59" s="88"/>
      <c r="R59" s="89"/>
      <c r="S59" s="318"/>
    </row>
    <row r="60" spans="1:19" ht="51.75" customHeight="1" x14ac:dyDescent="0.25">
      <c r="A60" s="119"/>
      <c r="B60" s="121" t="s">
        <v>227</v>
      </c>
      <c r="C60" s="122"/>
      <c r="D60" s="122"/>
      <c r="E60" s="122"/>
      <c r="F60" s="122"/>
      <c r="G60" s="88"/>
      <c r="H60" s="89"/>
      <c r="I60" s="318"/>
      <c r="J60" s="42"/>
      <c r="K60" s="119"/>
      <c r="L60" s="121" t="s">
        <v>227</v>
      </c>
      <c r="M60" s="122"/>
      <c r="N60" s="122"/>
      <c r="O60" s="122"/>
      <c r="P60" s="122"/>
      <c r="Q60" s="88"/>
      <c r="R60" s="89"/>
      <c r="S60" s="318"/>
    </row>
    <row r="61" spans="1:19" ht="54" customHeight="1" x14ac:dyDescent="0.25">
      <c r="A61" s="119"/>
      <c r="B61" s="121" t="s">
        <v>228</v>
      </c>
      <c r="C61" s="122"/>
      <c r="D61" s="122"/>
      <c r="E61" s="122"/>
      <c r="F61" s="122"/>
      <c r="G61" s="88"/>
      <c r="H61" s="89"/>
      <c r="I61" s="318"/>
      <c r="J61" s="43"/>
      <c r="K61" s="119"/>
      <c r="L61" s="121" t="s">
        <v>228</v>
      </c>
      <c r="M61" s="122"/>
      <c r="N61" s="122"/>
      <c r="O61" s="122"/>
      <c r="P61" s="122"/>
      <c r="Q61" s="88"/>
      <c r="R61" s="89"/>
      <c r="S61" s="318"/>
    </row>
    <row r="62" spans="1:19" ht="53.25" customHeight="1" thickBot="1" x14ac:dyDescent="0.3">
      <c r="A62" s="120"/>
      <c r="B62" s="123" t="s">
        <v>234</v>
      </c>
      <c r="C62" s="124"/>
      <c r="D62" s="124"/>
      <c r="E62" s="124"/>
      <c r="F62" s="124"/>
      <c r="G62" s="90"/>
      <c r="H62" s="91"/>
      <c r="I62" s="319"/>
      <c r="J62" s="59"/>
      <c r="K62" s="120"/>
      <c r="L62" s="123" t="s">
        <v>234</v>
      </c>
      <c r="M62" s="124"/>
      <c r="N62" s="124"/>
      <c r="O62" s="124"/>
      <c r="P62" s="124"/>
      <c r="Q62" s="90"/>
      <c r="R62" s="91"/>
      <c r="S62" s="319"/>
    </row>
    <row r="63" spans="1:19" ht="15.75" customHeight="1" thickBot="1" x14ac:dyDescent="0.3">
      <c r="A63" s="15"/>
      <c r="B63" s="137"/>
      <c r="C63" s="138"/>
      <c r="D63" s="138"/>
      <c r="E63" s="138"/>
      <c r="F63" s="138"/>
      <c r="G63" s="139"/>
      <c r="H63" s="140"/>
      <c r="I63" s="16"/>
      <c r="J63" s="58"/>
      <c r="K63" s="15"/>
      <c r="L63" s="137"/>
      <c r="M63" s="138"/>
      <c r="N63" s="138"/>
      <c r="O63" s="138"/>
      <c r="P63" s="138"/>
      <c r="Q63" s="139"/>
      <c r="R63" s="140"/>
      <c r="S63" s="16"/>
    </row>
    <row r="64" spans="1:19" ht="26.25" customHeight="1" thickBot="1" x14ac:dyDescent="0.3">
      <c r="A64" s="15"/>
      <c r="B64" s="137" t="s">
        <v>235</v>
      </c>
      <c r="C64" s="138"/>
      <c r="D64" s="138"/>
      <c r="E64" s="138"/>
      <c r="F64" s="138"/>
      <c r="G64" s="139"/>
      <c r="H64" s="140"/>
      <c r="I64" s="16"/>
      <c r="J64" s="45"/>
      <c r="K64" s="15"/>
      <c r="L64" s="137" t="s">
        <v>235</v>
      </c>
      <c r="M64" s="138"/>
      <c r="N64" s="138"/>
      <c r="O64" s="138"/>
      <c r="P64" s="138"/>
      <c r="Q64" s="139"/>
      <c r="R64" s="140"/>
      <c r="S64" s="16"/>
    </row>
    <row r="65" spans="1:19" ht="27" customHeight="1" thickBot="1" x14ac:dyDescent="0.3">
      <c r="A65" s="17"/>
      <c r="B65" s="78" t="s">
        <v>237</v>
      </c>
      <c r="C65" s="79"/>
      <c r="D65" s="79"/>
      <c r="E65" s="79"/>
      <c r="F65" s="79"/>
      <c r="G65" s="86">
        <v>5468</v>
      </c>
      <c r="H65" s="87"/>
      <c r="I65" s="108" t="s">
        <v>229</v>
      </c>
      <c r="J65" s="41"/>
      <c r="K65" s="17"/>
      <c r="L65" s="78" t="s">
        <v>237</v>
      </c>
      <c r="M65" s="79"/>
      <c r="N65" s="79"/>
      <c r="O65" s="79"/>
      <c r="P65" s="79"/>
      <c r="Q65" s="86">
        <v>3150</v>
      </c>
      <c r="R65" s="87"/>
      <c r="S65" s="108" t="s">
        <v>229</v>
      </c>
    </row>
    <row r="66" spans="1:19" ht="15.75" customHeight="1" thickBot="1" x14ac:dyDescent="0.3">
      <c r="A66" s="18"/>
      <c r="B66" s="110" t="s">
        <v>238</v>
      </c>
      <c r="C66" s="111"/>
      <c r="D66" s="111"/>
      <c r="E66" s="111"/>
      <c r="F66" s="111"/>
      <c r="G66" s="90"/>
      <c r="H66" s="91"/>
      <c r="I66" s="109"/>
      <c r="J66" s="41"/>
      <c r="K66" s="18"/>
      <c r="L66" s="110" t="s">
        <v>238</v>
      </c>
      <c r="M66" s="111"/>
      <c r="N66" s="111"/>
      <c r="O66" s="111"/>
      <c r="P66" s="111"/>
      <c r="Q66" s="90"/>
      <c r="R66" s="91"/>
      <c r="S66" s="109"/>
    </row>
    <row r="67" spans="1:19" ht="15.75" customHeight="1" thickBot="1" x14ac:dyDescent="0.3">
      <c r="A67" s="19"/>
      <c r="B67" s="112" t="s">
        <v>239</v>
      </c>
      <c r="C67" s="113"/>
      <c r="D67" s="113"/>
      <c r="E67" s="113"/>
      <c r="F67" s="113"/>
      <c r="G67" s="114">
        <f>SUM(G46:H66)</f>
        <v>284303.88320000004</v>
      </c>
      <c r="H67" s="115"/>
      <c r="I67" s="20"/>
      <c r="J67" s="60"/>
      <c r="K67" s="19"/>
      <c r="L67" s="112" t="s">
        <v>239</v>
      </c>
      <c r="M67" s="113"/>
      <c r="N67" s="113"/>
      <c r="O67" s="113"/>
      <c r="P67" s="113"/>
      <c r="Q67" s="114">
        <f>SUM(Q46:R66)</f>
        <v>216812.21759999997</v>
      </c>
      <c r="R67" s="115"/>
      <c r="S67" s="20"/>
    </row>
    <row r="68" spans="1:19" ht="15.75" customHeight="1" thickBot="1" x14ac:dyDescent="0.3">
      <c r="A68" s="21"/>
      <c r="B68" s="101" t="s">
        <v>240</v>
      </c>
      <c r="C68" s="102"/>
      <c r="D68" s="102"/>
      <c r="E68" s="102"/>
      <c r="F68" s="102"/>
      <c r="G68" s="116">
        <f>G67*1.2</f>
        <v>341164.65984000004</v>
      </c>
      <c r="H68" s="117"/>
      <c r="I68" s="22"/>
      <c r="J68" s="60"/>
      <c r="K68" s="21"/>
      <c r="L68" s="101" t="s">
        <v>240</v>
      </c>
      <c r="M68" s="102"/>
      <c r="N68" s="102"/>
      <c r="O68" s="102"/>
      <c r="P68" s="102"/>
      <c r="Q68" s="116">
        <f>Q67*1.2</f>
        <v>260174.66111999995</v>
      </c>
      <c r="R68" s="117"/>
      <c r="S68" s="22"/>
    </row>
    <row r="69" spans="1:19" ht="15.75" customHeight="1" thickBot="1" x14ac:dyDescent="0.3">
      <c r="A69" s="24"/>
      <c r="B69" s="96" t="s">
        <v>443</v>
      </c>
      <c r="C69" s="97"/>
      <c r="D69" s="97"/>
      <c r="E69" s="97"/>
      <c r="F69" s="97"/>
      <c r="G69" s="311">
        <v>358746.16</v>
      </c>
      <c r="H69" s="312"/>
      <c r="I69" s="313"/>
      <c r="J69" s="60"/>
      <c r="K69" s="24"/>
      <c r="L69" s="96" t="s">
        <v>443</v>
      </c>
      <c r="M69" s="97"/>
      <c r="N69" s="97"/>
      <c r="O69" s="97"/>
      <c r="P69" s="97"/>
      <c r="Q69" s="311">
        <v>262724.03999999998</v>
      </c>
      <c r="R69" s="312"/>
      <c r="S69" s="313"/>
    </row>
    <row r="70" spans="1:19" ht="15.75" thickBot="1" x14ac:dyDescent="0.3">
      <c r="A70" s="19"/>
      <c r="B70" s="101" t="s">
        <v>242</v>
      </c>
      <c r="C70" s="102"/>
      <c r="D70" s="102"/>
      <c r="E70" s="102"/>
      <c r="F70" s="102"/>
      <c r="G70" s="307">
        <v>344977.23</v>
      </c>
      <c r="H70" s="308"/>
      <c r="I70" s="309"/>
      <c r="K70" s="19"/>
      <c r="L70" s="101" t="s">
        <v>242</v>
      </c>
      <c r="M70" s="102"/>
      <c r="N70" s="102"/>
      <c r="O70" s="102"/>
      <c r="P70" s="102"/>
      <c r="Q70" s="307">
        <v>262237.51</v>
      </c>
      <c r="R70" s="308"/>
      <c r="S70" s="309"/>
    </row>
    <row r="71" spans="1:19" ht="15.75" customHeight="1" thickBot="1" x14ac:dyDescent="0.3">
      <c r="A71" s="19"/>
      <c r="B71" s="106" t="s">
        <v>444</v>
      </c>
      <c r="C71" s="107"/>
      <c r="D71" s="107"/>
      <c r="E71" s="107"/>
      <c r="F71" s="107"/>
      <c r="G71" s="307">
        <v>74924.09</v>
      </c>
      <c r="H71" s="308"/>
      <c r="I71" s="309"/>
      <c r="J71" s="61"/>
      <c r="K71" s="19"/>
      <c r="L71" s="106" t="s">
        <v>444</v>
      </c>
      <c r="M71" s="107"/>
      <c r="N71" s="107"/>
      <c r="O71" s="107"/>
      <c r="P71" s="107"/>
      <c r="Q71" s="307">
        <v>65216.72</v>
      </c>
      <c r="R71" s="308"/>
      <c r="S71" s="309"/>
    </row>
    <row r="72" spans="1:19" ht="30.6" customHeight="1" x14ac:dyDescent="0.25">
      <c r="B72" s="323"/>
      <c r="C72" s="323"/>
      <c r="D72" s="323"/>
      <c r="E72" s="323"/>
      <c r="F72" s="323"/>
      <c r="G72" s="323"/>
      <c r="H72" s="323"/>
      <c r="I72" s="323"/>
      <c r="K72" s="30"/>
      <c r="L72" s="323"/>
      <c r="M72" s="323"/>
      <c r="N72" s="323"/>
      <c r="O72" s="323"/>
      <c r="P72" s="323"/>
      <c r="Q72" s="323"/>
      <c r="R72" s="323"/>
      <c r="S72" s="323"/>
    </row>
    <row r="73" spans="1:19" ht="15.75" x14ac:dyDescent="0.25">
      <c r="A73" s="30"/>
      <c r="C73" s="30"/>
      <c r="K73" s="30"/>
      <c r="N73" s="30"/>
    </row>
    <row r="74" spans="1:19" ht="15.75" x14ac:dyDescent="0.25">
      <c r="A74" s="30"/>
      <c r="C74" s="30"/>
      <c r="K74" s="30"/>
      <c r="N74" s="30"/>
    </row>
    <row r="75" spans="1:19" x14ac:dyDescent="0.25">
      <c r="A75" s="3"/>
      <c r="B75" s="3"/>
      <c r="C75" s="3"/>
      <c r="D75" s="3"/>
      <c r="E75" s="4" t="s">
        <v>204</v>
      </c>
      <c r="F75" s="3"/>
      <c r="G75" s="3"/>
      <c r="H75" s="3"/>
      <c r="I75" s="3"/>
      <c r="K75" s="3"/>
      <c r="L75" s="3"/>
      <c r="M75" s="3"/>
      <c r="N75" s="3"/>
      <c r="O75" s="4" t="s">
        <v>204</v>
      </c>
      <c r="P75" s="3"/>
      <c r="Q75" s="3"/>
      <c r="R75" s="3"/>
      <c r="S75" s="3"/>
    </row>
    <row r="76" spans="1:19" x14ac:dyDescent="0.25">
      <c r="A76" s="3" t="s">
        <v>205</v>
      </c>
      <c r="B76" s="3"/>
      <c r="C76" s="3"/>
      <c r="D76" s="3" t="s">
        <v>310</v>
      </c>
      <c r="E76" s="3"/>
      <c r="F76" s="3"/>
      <c r="G76" s="3"/>
      <c r="H76" s="3"/>
      <c r="I76" s="3"/>
      <c r="K76" s="3" t="s">
        <v>205</v>
      </c>
      <c r="L76" s="3"/>
      <c r="M76" s="3"/>
      <c r="N76" s="3" t="s">
        <v>311</v>
      </c>
      <c r="O76" s="3"/>
      <c r="P76" s="3"/>
      <c r="Q76" s="3"/>
      <c r="R76" s="3"/>
      <c r="S76" s="3"/>
    </row>
    <row r="77" spans="1:19" x14ac:dyDescent="0.25">
      <c r="A77" s="3"/>
      <c r="B77" s="5" t="s">
        <v>440</v>
      </c>
      <c r="C77" s="3"/>
      <c r="D77" s="3"/>
      <c r="E77" s="3"/>
      <c r="F77" s="3"/>
      <c r="G77" s="3"/>
      <c r="H77" s="3"/>
      <c r="I77" s="3"/>
      <c r="J77" s="3"/>
      <c r="K77" s="3"/>
      <c r="L77" s="5" t="s">
        <v>440</v>
      </c>
      <c r="M77" s="3"/>
      <c r="N77" s="3"/>
      <c r="O77" s="3"/>
      <c r="P77" s="3"/>
      <c r="Q77" s="3"/>
      <c r="R77" s="3"/>
      <c r="S77" s="3"/>
    </row>
    <row r="78" spans="1:19" ht="15.75" thickBot="1" x14ac:dyDescent="0.3">
      <c r="A78" s="3"/>
      <c r="B78" s="5" t="s">
        <v>206</v>
      </c>
      <c r="C78" s="3"/>
      <c r="D78" s="3"/>
      <c r="E78" s="3"/>
      <c r="F78" s="3">
        <v>3352.5</v>
      </c>
      <c r="G78" s="3" t="s">
        <v>207</v>
      </c>
      <c r="H78" s="65"/>
      <c r="I78" s="3"/>
      <c r="J78" s="3"/>
      <c r="K78" s="3"/>
      <c r="L78" s="5" t="s">
        <v>206</v>
      </c>
      <c r="M78" s="3"/>
      <c r="N78" s="3"/>
      <c r="O78" s="3"/>
      <c r="P78" s="3">
        <v>4579.3</v>
      </c>
      <c r="Q78" s="3" t="s">
        <v>207</v>
      </c>
      <c r="R78" s="3"/>
      <c r="S78" s="3"/>
    </row>
    <row r="79" spans="1:19" ht="15" customHeight="1" x14ac:dyDescent="0.25">
      <c r="A79" s="175" t="s">
        <v>209</v>
      </c>
      <c r="B79" s="177" t="s">
        <v>210</v>
      </c>
      <c r="C79" s="178"/>
      <c r="D79" s="178"/>
      <c r="E79" s="178"/>
      <c r="F79" s="178"/>
      <c r="G79" s="180" t="s">
        <v>441</v>
      </c>
      <c r="H79" s="181"/>
      <c r="I79" s="175" t="s">
        <v>212</v>
      </c>
      <c r="J79" s="31"/>
      <c r="K79" s="175" t="s">
        <v>209</v>
      </c>
      <c r="L79" s="177" t="s">
        <v>210</v>
      </c>
      <c r="M79" s="178"/>
      <c r="N79" s="178"/>
      <c r="O79" s="178"/>
      <c r="P79" s="178"/>
      <c r="Q79" s="180" t="s">
        <v>441</v>
      </c>
      <c r="R79" s="181"/>
      <c r="S79" s="175" t="s">
        <v>212</v>
      </c>
    </row>
    <row r="80" spans="1:19" ht="75" customHeight="1" thickBot="1" x14ac:dyDescent="0.3">
      <c r="A80" s="176"/>
      <c r="B80" s="179"/>
      <c r="C80" s="179"/>
      <c r="D80" s="179"/>
      <c r="E80" s="179"/>
      <c r="F80" s="179"/>
      <c r="G80" s="182"/>
      <c r="H80" s="183"/>
      <c r="I80" s="184"/>
      <c r="J80" s="32"/>
      <c r="K80" s="176"/>
      <c r="L80" s="179"/>
      <c r="M80" s="179"/>
      <c r="N80" s="179"/>
      <c r="O80" s="179"/>
      <c r="P80" s="179"/>
      <c r="Q80" s="182"/>
      <c r="R80" s="183"/>
      <c r="S80" s="184"/>
    </row>
    <row r="81" spans="1:19" ht="15" customHeight="1" x14ac:dyDescent="0.25">
      <c r="A81" s="185" t="s">
        <v>213</v>
      </c>
      <c r="B81" s="187" t="s">
        <v>354</v>
      </c>
      <c r="C81" s="188"/>
      <c r="D81" s="188"/>
      <c r="E81" s="188"/>
      <c r="F81" s="188"/>
      <c r="G81" s="190">
        <v>62239.8</v>
      </c>
      <c r="H81" s="191"/>
      <c r="I81" s="192"/>
      <c r="J81" s="33"/>
      <c r="K81" s="185" t="s">
        <v>213</v>
      </c>
      <c r="L81" s="187" t="s">
        <v>354</v>
      </c>
      <c r="M81" s="188"/>
      <c r="N81" s="188"/>
      <c r="O81" s="188"/>
      <c r="P81" s="188"/>
      <c r="Q81" s="190">
        <v>120260.43</v>
      </c>
      <c r="R81" s="191"/>
      <c r="S81" s="192"/>
    </row>
    <row r="82" spans="1:19" ht="5.25" customHeight="1" thickBot="1" x14ac:dyDescent="0.3">
      <c r="A82" s="186"/>
      <c r="B82" s="189"/>
      <c r="C82" s="189"/>
      <c r="D82" s="189"/>
      <c r="E82" s="189"/>
      <c r="F82" s="189"/>
      <c r="G82" s="193"/>
      <c r="H82" s="194"/>
      <c r="I82" s="128"/>
      <c r="J82" s="34"/>
      <c r="K82" s="186"/>
      <c r="L82" s="189"/>
      <c r="M82" s="189"/>
      <c r="N82" s="189"/>
      <c r="O82" s="189"/>
      <c r="P82" s="189"/>
      <c r="Q82" s="193"/>
      <c r="R82" s="194"/>
      <c r="S82" s="128"/>
    </row>
    <row r="83" spans="1:19" ht="15" customHeight="1" x14ac:dyDescent="0.25">
      <c r="A83" s="6"/>
      <c r="B83" s="161" t="s">
        <v>214</v>
      </c>
      <c r="C83" s="162"/>
      <c r="D83" s="162"/>
      <c r="E83" s="162"/>
      <c r="F83" s="162"/>
      <c r="G83" s="163">
        <f>1.64*12*F78</f>
        <v>65977.2</v>
      </c>
      <c r="H83" s="164"/>
      <c r="I83" s="169" t="s">
        <v>215</v>
      </c>
      <c r="J83" s="35"/>
      <c r="K83" s="6"/>
      <c r="L83" s="161" t="s">
        <v>214</v>
      </c>
      <c r="M83" s="162"/>
      <c r="N83" s="162"/>
      <c r="O83" s="162"/>
      <c r="P83" s="162"/>
      <c r="Q83" s="163">
        <f>1.85*12*P78</f>
        <v>101660.46000000002</v>
      </c>
      <c r="R83" s="164"/>
      <c r="S83" s="169" t="s">
        <v>215</v>
      </c>
    </row>
    <row r="84" spans="1:19" ht="30" customHeight="1" thickBot="1" x14ac:dyDescent="0.3">
      <c r="A84" s="7"/>
      <c r="B84" s="171" t="s">
        <v>216</v>
      </c>
      <c r="C84" s="172"/>
      <c r="D84" s="172"/>
      <c r="E84" s="172"/>
      <c r="F84" s="172"/>
      <c r="G84" s="165"/>
      <c r="H84" s="166"/>
      <c r="I84" s="170"/>
      <c r="J84" s="36"/>
      <c r="K84" s="7"/>
      <c r="L84" s="171" t="s">
        <v>216</v>
      </c>
      <c r="M84" s="172"/>
      <c r="N84" s="172"/>
      <c r="O84" s="172"/>
      <c r="P84" s="172"/>
      <c r="Q84" s="165"/>
      <c r="R84" s="166"/>
      <c r="S84" s="170"/>
    </row>
    <row r="85" spans="1:19" ht="13.5" customHeight="1" thickBot="1" x14ac:dyDescent="0.3">
      <c r="A85" s="7"/>
      <c r="B85" s="173" t="s">
        <v>217</v>
      </c>
      <c r="C85" s="174"/>
      <c r="D85" s="174"/>
      <c r="E85" s="174"/>
      <c r="F85" s="174"/>
      <c r="G85" s="167"/>
      <c r="H85" s="168"/>
      <c r="I85" s="8" t="s">
        <v>218</v>
      </c>
      <c r="J85" s="36"/>
      <c r="K85" s="7"/>
      <c r="L85" s="173" t="s">
        <v>217</v>
      </c>
      <c r="M85" s="174"/>
      <c r="N85" s="174"/>
      <c r="O85" s="174"/>
      <c r="P85" s="174"/>
      <c r="Q85" s="167"/>
      <c r="R85" s="168"/>
      <c r="S85" s="8" t="s">
        <v>218</v>
      </c>
    </row>
    <row r="86" spans="1:19" ht="21.75" customHeight="1" thickBot="1" x14ac:dyDescent="0.3">
      <c r="A86" s="7"/>
      <c r="B86" s="141" t="s">
        <v>219</v>
      </c>
      <c r="C86" s="142"/>
      <c r="D86" s="142"/>
      <c r="E86" s="142"/>
      <c r="F86" s="142"/>
      <c r="G86" s="143">
        <v>0</v>
      </c>
      <c r="H86" s="144"/>
      <c r="I86" s="8" t="s">
        <v>220</v>
      </c>
      <c r="J86" s="37"/>
      <c r="K86" s="7"/>
      <c r="L86" s="141" t="s">
        <v>219</v>
      </c>
      <c r="M86" s="142"/>
      <c r="N86" s="142"/>
      <c r="O86" s="142"/>
      <c r="P86" s="142"/>
      <c r="Q86" s="143">
        <v>0</v>
      </c>
      <c r="R86" s="144"/>
      <c r="S86" s="8" t="s">
        <v>220</v>
      </c>
    </row>
    <row r="87" spans="1:19" ht="21.75" customHeight="1" thickBot="1" x14ac:dyDescent="0.3">
      <c r="A87" s="7"/>
      <c r="B87" s="141" t="s">
        <v>221</v>
      </c>
      <c r="C87" s="142"/>
      <c r="D87" s="142"/>
      <c r="E87" s="142"/>
      <c r="F87" s="142"/>
      <c r="G87" s="143">
        <f>0.474*12*F78</f>
        <v>19069.02</v>
      </c>
      <c r="H87" s="144"/>
      <c r="I87" s="8" t="s">
        <v>222</v>
      </c>
      <c r="J87" s="38"/>
      <c r="K87" s="7"/>
      <c r="L87" s="141" t="s">
        <v>221</v>
      </c>
      <c r="M87" s="142"/>
      <c r="N87" s="142"/>
      <c r="O87" s="142"/>
      <c r="P87" s="142"/>
      <c r="Q87" s="143">
        <f>0.474*12*P78</f>
        <v>26047.058399999998</v>
      </c>
      <c r="R87" s="144"/>
      <c r="S87" s="8" t="s">
        <v>222</v>
      </c>
    </row>
    <row r="88" spans="1:19" ht="13.5" customHeight="1" x14ac:dyDescent="0.25">
      <c r="A88" s="9"/>
      <c r="B88" s="145" t="s">
        <v>223</v>
      </c>
      <c r="C88" s="146"/>
      <c r="D88" s="146"/>
      <c r="E88" s="146"/>
      <c r="F88" s="146"/>
      <c r="G88" s="86">
        <f>2.15*12*F78</f>
        <v>86494.499999999985</v>
      </c>
      <c r="H88" s="147"/>
      <c r="I88" s="152" t="s">
        <v>224</v>
      </c>
      <c r="J88" s="38"/>
      <c r="K88" s="9"/>
      <c r="L88" s="145" t="s">
        <v>223</v>
      </c>
      <c r="M88" s="146"/>
      <c r="N88" s="146"/>
      <c r="O88" s="146"/>
      <c r="P88" s="146"/>
      <c r="Q88" s="86">
        <f>1.982*12*P78</f>
        <v>108914.07120000001</v>
      </c>
      <c r="R88" s="147"/>
      <c r="S88" s="152" t="s">
        <v>224</v>
      </c>
    </row>
    <row r="89" spans="1:19" ht="13.5" customHeight="1" x14ac:dyDescent="0.25">
      <c r="A89" s="10"/>
      <c r="B89" s="155" t="s">
        <v>226</v>
      </c>
      <c r="C89" s="156"/>
      <c r="D89" s="156"/>
      <c r="E89" s="156"/>
      <c r="F89" s="156"/>
      <c r="G89" s="148"/>
      <c r="H89" s="149"/>
      <c r="I89" s="153"/>
      <c r="J89" s="39"/>
      <c r="K89" s="10"/>
      <c r="L89" s="155" t="s">
        <v>226</v>
      </c>
      <c r="M89" s="156"/>
      <c r="N89" s="156"/>
      <c r="O89" s="156"/>
      <c r="P89" s="156"/>
      <c r="Q89" s="148"/>
      <c r="R89" s="149"/>
      <c r="S89" s="153"/>
    </row>
    <row r="90" spans="1:19" ht="13.5" customHeight="1" thickBot="1" x14ac:dyDescent="0.3">
      <c r="A90" s="10"/>
      <c r="B90" s="157" t="s">
        <v>227</v>
      </c>
      <c r="C90" s="158"/>
      <c r="D90" s="158"/>
      <c r="E90" s="158"/>
      <c r="F90" s="158"/>
      <c r="G90" s="148"/>
      <c r="H90" s="149"/>
      <c r="I90" s="154"/>
      <c r="J90" s="36"/>
      <c r="K90" s="10"/>
      <c r="L90" s="157" t="s">
        <v>227</v>
      </c>
      <c r="M90" s="158"/>
      <c r="N90" s="158"/>
      <c r="O90" s="158"/>
      <c r="P90" s="158"/>
      <c r="Q90" s="148"/>
      <c r="R90" s="149"/>
      <c r="S90" s="154"/>
    </row>
    <row r="91" spans="1:19" ht="13.5" customHeight="1" thickBot="1" x14ac:dyDescent="0.3">
      <c r="A91" s="10"/>
      <c r="B91" s="159" t="s">
        <v>228</v>
      </c>
      <c r="C91" s="160"/>
      <c r="D91" s="160"/>
      <c r="E91" s="160"/>
      <c r="F91" s="160"/>
      <c r="G91" s="150"/>
      <c r="H91" s="151"/>
      <c r="I91" s="11" t="s">
        <v>229</v>
      </c>
      <c r="J91" s="36"/>
      <c r="K91" s="10"/>
      <c r="L91" s="159" t="s">
        <v>228</v>
      </c>
      <c r="M91" s="160"/>
      <c r="N91" s="160"/>
      <c r="O91" s="160"/>
      <c r="P91" s="160"/>
      <c r="Q91" s="150"/>
      <c r="R91" s="151"/>
      <c r="S91" s="11" t="s">
        <v>229</v>
      </c>
    </row>
    <row r="92" spans="1:19" ht="13.5" customHeight="1" x14ac:dyDescent="0.25">
      <c r="A92" s="12"/>
      <c r="B92" s="125" t="s">
        <v>230</v>
      </c>
      <c r="C92" s="126"/>
      <c r="D92" s="126"/>
      <c r="E92" s="126"/>
      <c r="F92" s="126"/>
      <c r="G92" s="86">
        <f>0.048*12*F78</f>
        <v>1931.0400000000002</v>
      </c>
      <c r="H92" s="87"/>
      <c r="I92" s="129" t="s">
        <v>220</v>
      </c>
      <c r="J92" s="36"/>
      <c r="K92" s="12"/>
      <c r="L92" s="125" t="s">
        <v>230</v>
      </c>
      <c r="M92" s="126"/>
      <c r="N92" s="126"/>
      <c r="O92" s="126"/>
      <c r="P92" s="126"/>
      <c r="Q92" s="86">
        <f>0.048*12*P78</f>
        <v>2637.6768000000006</v>
      </c>
      <c r="R92" s="87"/>
      <c r="S92" s="129" t="s">
        <v>220</v>
      </c>
    </row>
    <row r="93" spans="1:19" ht="13.5" customHeight="1" thickBot="1" x14ac:dyDescent="0.3">
      <c r="A93" s="7"/>
      <c r="B93" s="131" t="s">
        <v>231</v>
      </c>
      <c r="C93" s="132"/>
      <c r="D93" s="132"/>
      <c r="E93" s="132"/>
      <c r="F93" s="132"/>
      <c r="G93" s="127"/>
      <c r="H93" s="128"/>
      <c r="I93" s="130"/>
      <c r="J93" s="36"/>
      <c r="K93" s="7"/>
      <c r="L93" s="131" t="s">
        <v>231</v>
      </c>
      <c r="M93" s="132"/>
      <c r="N93" s="132"/>
      <c r="O93" s="132"/>
      <c r="P93" s="132"/>
      <c r="Q93" s="127"/>
      <c r="R93" s="128"/>
      <c r="S93" s="130"/>
    </row>
    <row r="94" spans="1:19" ht="13.5" customHeight="1" thickBot="1" x14ac:dyDescent="0.3">
      <c r="A94" s="13"/>
      <c r="B94" s="133" t="s">
        <v>232</v>
      </c>
      <c r="C94" s="134"/>
      <c r="D94" s="134"/>
      <c r="E94" s="134"/>
      <c r="F94" s="134"/>
      <c r="G94" s="135"/>
      <c r="H94" s="136"/>
      <c r="I94" s="14"/>
      <c r="J94" s="40"/>
      <c r="K94" s="13"/>
      <c r="L94" s="133" t="s">
        <v>232</v>
      </c>
      <c r="M94" s="134"/>
      <c r="N94" s="134"/>
      <c r="O94" s="134"/>
      <c r="P94" s="134"/>
      <c r="Q94" s="135"/>
      <c r="R94" s="136"/>
      <c r="S94" s="14"/>
    </row>
    <row r="95" spans="1:19" ht="36.75" customHeight="1" thickBot="1" x14ac:dyDescent="0.3">
      <c r="A95" s="13"/>
      <c r="B95" s="84" t="s">
        <v>233</v>
      </c>
      <c r="C95" s="85"/>
      <c r="D95" s="85"/>
      <c r="E95" s="85"/>
      <c r="F95" s="85"/>
      <c r="G95" s="86">
        <f>1.75*12*F78</f>
        <v>70402.5</v>
      </c>
      <c r="H95" s="87"/>
      <c r="I95" s="317" t="s">
        <v>525</v>
      </c>
      <c r="J95" s="41"/>
      <c r="K95" s="13"/>
      <c r="L95" s="84" t="s">
        <v>233</v>
      </c>
      <c r="M95" s="85"/>
      <c r="N95" s="85"/>
      <c r="O95" s="85"/>
      <c r="P95" s="85"/>
      <c r="Q95" s="86">
        <f>1.55*12*P78</f>
        <v>85174.98000000001</v>
      </c>
      <c r="R95" s="87"/>
      <c r="S95" s="324" t="s">
        <v>526</v>
      </c>
    </row>
    <row r="96" spans="1:19" ht="34.5" customHeight="1" x14ac:dyDescent="0.25">
      <c r="A96" s="118"/>
      <c r="B96" s="121" t="s">
        <v>226</v>
      </c>
      <c r="C96" s="122"/>
      <c r="D96" s="122"/>
      <c r="E96" s="122"/>
      <c r="F96" s="122"/>
      <c r="G96" s="88"/>
      <c r="H96" s="89"/>
      <c r="I96" s="318"/>
      <c r="J96" s="41"/>
      <c r="K96" s="118"/>
      <c r="L96" s="121" t="s">
        <v>226</v>
      </c>
      <c r="M96" s="122"/>
      <c r="N96" s="122"/>
      <c r="O96" s="122"/>
      <c r="P96" s="122"/>
      <c r="Q96" s="88"/>
      <c r="R96" s="89"/>
      <c r="S96" s="325"/>
    </row>
    <row r="97" spans="1:19" ht="37.5" customHeight="1" x14ac:dyDescent="0.25">
      <c r="A97" s="119"/>
      <c r="B97" s="121" t="s">
        <v>227</v>
      </c>
      <c r="C97" s="122"/>
      <c r="D97" s="122"/>
      <c r="E97" s="122"/>
      <c r="F97" s="122"/>
      <c r="G97" s="88"/>
      <c r="H97" s="89"/>
      <c r="I97" s="318"/>
      <c r="J97" s="41"/>
      <c r="K97" s="119"/>
      <c r="L97" s="121" t="s">
        <v>227</v>
      </c>
      <c r="M97" s="122"/>
      <c r="N97" s="122"/>
      <c r="O97" s="122"/>
      <c r="P97" s="122"/>
      <c r="Q97" s="88"/>
      <c r="R97" s="89"/>
      <c r="S97" s="325"/>
    </row>
    <row r="98" spans="1:19" ht="24" customHeight="1" x14ac:dyDescent="0.25">
      <c r="A98" s="119"/>
      <c r="B98" s="121" t="s">
        <v>228</v>
      </c>
      <c r="C98" s="122"/>
      <c r="D98" s="122"/>
      <c r="E98" s="122"/>
      <c r="F98" s="122"/>
      <c r="G98" s="88"/>
      <c r="H98" s="89"/>
      <c r="I98" s="318"/>
      <c r="J98" s="42"/>
      <c r="K98" s="119"/>
      <c r="L98" s="121" t="s">
        <v>228</v>
      </c>
      <c r="M98" s="122"/>
      <c r="N98" s="122"/>
      <c r="O98" s="122"/>
      <c r="P98" s="122"/>
      <c r="Q98" s="88"/>
      <c r="R98" s="89"/>
      <c r="S98" s="325"/>
    </row>
    <row r="99" spans="1:19" ht="120.6" customHeight="1" thickBot="1" x14ac:dyDescent="0.3">
      <c r="A99" s="120"/>
      <c r="B99" s="123" t="s">
        <v>234</v>
      </c>
      <c r="C99" s="124"/>
      <c r="D99" s="124"/>
      <c r="E99" s="124"/>
      <c r="F99" s="124"/>
      <c r="G99" s="90"/>
      <c r="H99" s="91"/>
      <c r="I99" s="319"/>
      <c r="J99" s="43"/>
      <c r="K99" s="120"/>
      <c r="L99" s="123" t="s">
        <v>234</v>
      </c>
      <c r="M99" s="124"/>
      <c r="N99" s="124"/>
      <c r="O99" s="124"/>
      <c r="P99" s="124"/>
      <c r="Q99" s="90"/>
      <c r="R99" s="91"/>
      <c r="S99" s="326"/>
    </row>
    <row r="100" spans="1:19" ht="14.25" customHeight="1" thickBot="1" x14ac:dyDescent="0.3">
      <c r="A100" s="15"/>
      <c r="B100" s="137"/>
      <c r="C100" s="138"/>
      <c r="D100" s="138"/>
      <c r="E100" s="138"/>
      <c r="F100" s="138"/>
      <c r="G100" s="139"/>
      <c r="H100" s="140"/>
      <c r="I100" s="16"/>
      <c r="J100" s="44"/>
      <c r="K100" s="15"/>
      <c r="L100" s="137"/>
      <c r="M100" s="138"/>
      <c r="N100" s="138"/>
      <c r="O100" s="138"/>
      <c r="P100" s="138"/>
      <c r="Q100" s="139"/>
      <c r="R100" s="140"/>
      <c r="S100" s="16"/>
    </row>
    <row r="101" spans="1:19" ht="31.5" hidden="1" customHeight="1" x14ac:dyDescent="0.25">
      <c r="A101" s="15"/>
      <c r="B101" s="137" t="s">
        <v>235</v>
      </c>
      <c r="C101" s="138"/>
      <c r="D101" s="138"/>
      <c r="E101" s="138"/>
      <c r="F101" s="138"/>
      <c r="G101" s="139"/>
      <c r="H101" s="140"/>
      <c r="I101" s="16"/>
      <c r="J101" s="40"/>
      <c r="K101" s="15"/>
      <c r="L101" s="137" t="s">
        <v>235</v>
      </c>
      <c r="M101" s="138"/>
      <c r="N101" s="138"/>
      <c r="O101" s="138"/>
      <c r="P101" s="138"/>
      <c r="Q101" s="139"/>
      <c r="R101" s="140"/>
      <c r="S101" s="16"/>
    </row>
    <row r="102" spans="1:19" ht="42" customHeight="1" thickBot="1" x14ac:dyDescent="0.3">
      <c r="A102" s="17"/>
      <c r="B102" s="78" t="s">
        <v>237</v>
      </c>
      <c r="C102" s="79"/>
      <c r="D102" s="79"/>
      <c r="E102" s="79"/>
      <c r="F102" s="79"/>
      <c r="G102" s="86">
        <v>4400</v>
      </c>
      <c r="H102" s="87"/>
      <c r="I102" s="108" t="s">
        <v>229</v>
      </c>
      <c r="J102" s="27"/>
      <c r="K102" s="17"/>
      <c r="L102" s="78" t="s">
        <v>237</v>
      </c>
      <c r="M102" s="79"/>
      <c r="N102" s="79"/>
      <c r="O102" s="79"/>
      <c r="P102" s="79"/>
      <c r="Q102" s="86">
        <v>6044</v>
      </c>
      <c r="R102" s="87"/>
      <c r="S102" s="108" t="s">
        <v>229</v>
      </c>
    </row>
    <row r="103" spans="1:19" ht="15" customHeight="1" thickBot="1" x14ac:dyDescent="0.3">
      <c r="A103" s="18"/>
      <c r="B103" s="110" t="s">
        <v>238</v>
      </c>
      <c r="C103" s="111"/>
      <c r="D103" s="111"/>
      <c r="E103" s="111"/>
      <c r="F103" s="111"/>
      <c r="G103" s="90"/>
      <c r="H103" s="91"/>
      <c r="I103" s="109"/>
      <c r="J103" s="45"/>
      <c r="K103" s="18"/>
      <c r="L103" s="110" t="s">
        <v>238</v>
      </c>
      <c r="M103" s="111"/>
      <c r="N103" s="111"/>
      <c r="O103" s="111"/>
      <c r="P103" s="111"/>
      <c r="Q103" s="90"/>
      <c r="R103" s="91"/>
      <c r="S103" s="109"/>
    </row>
    <row r="104" spans="1:19" ht="15" customHeight="1" thickBot="1" x14ac:dyDescent="0.3">
      <c r="A104" s="19"/>
      <c r="B104" s="112" t="s">
        <v>239</v>
      </c>
      <c r="C104" s="113"/>
      <c r="D104" s="113"/>
      <c r="E104" s="113"/>
      <c r="F104" s="113"/>
      <c r="G104" s="114">
        <f>SUM(G83:H103)</f>
        <v>248274.25999999998</v>
      </c>
      <c r="H104" s="115"/>
      <c r="I104" s="20"/>
      <c r="J104" s="46"/>
      <c r="K104" s="19"/>
      <c r="L104" s="112" t="s">
        <v>239</v>
      </c>
      <c r="M104" s="113"/>
      <c r="N104" s="113"/>
      <c r="O104" s="113"/>
      <c r="P104" s="113"/>
      <c r="Q104" s="114">
        <f>SUM(Q83:R103)</f>
        <v>330478.2464</v>
      </c>
      <c r="R104" s="115"/>
      <c r="S104" s="20"/>
    </row>
    <row r="105" spans="1:19" ht="18.75" customHeight="1" thickBot="1" x14ac:dyDescent="0.3">
      <c r="A105" s="21"/>
      <c r="B105" s="101" t="s">
        <v>240</v>
      </c>
      <c r="C105" s="102"/>
      <c r="D105" s="102"/>
      <c r="E105" s="102"/>
      <c r="F105" s="102"/>
      <c r="G105" s="116">
        <f>G104*1.2</f>
        <v>297929.11199999996</v>
      </c>
      <c r="H105" s="117"/>
      <c r="I105" s="22"/>
      <c r="J105" s="47"/>
      <c r="K105" s="21"/>
      <c r="L105" s="101" t="s">
        <v>240</v>
      </c>
      <c r="M105" s="102"/>
      <c r="N105" s="102"/>
      <c r="O105" s="102"/>
      <c r="P105" s="102"/>
      <c r="Q105" s="116">
        <f>Q104*1.2</f>
        <v>396573.89568000002</v>
      </c>
      <c r="R105" s="117"/>
      <c r="S105" s="22"/>
    </row>
    <row r="106" spans="1:19" ht="18.75" customHeight="1" thickBot="1" x14ac:dyDescent="0.3">
      <c r="A106" s="24"/>
      <c r="B106" s="96" t="s">
        <v>443</v>
      </c>
      <c r="C106" s="97"/>
      <c r="D106" s="97"/>
      <c r="E106" s="97"/>
      <c r="F106" s="97"/>
      <c r="G106" s="311">
        <v>296741.88</v>
      </c>
      <c r="H106" s="312"/>
      <c r="I106" s="313"/>
      <c r="J106" s="47"/>
      <c r="K106" s="24"/>
      <c r="L106" s="96" t="s">
        <v>443</v>
      </c>
      <c r="M106" s="97"/>
      <c r="N106" s="97"/>
      <c r="O106" s="97"/>
      <c r="P106" s="97"/>
      <c r="Q106" s="311">
        <v>390147</v>
      </c>
      <c r="R106" s="312"/>
      <c r="S106" s="313"/>
    </row>
    <row r="107" spans="1:19" ht="18.75" customHeight="1" thickBot="1" x14ac:dyDescent="0.3">
      <c r="A107" s="19"/>
      <c r="B107" s="101" t="s">
        <v>242</v>
      </c>
      <c r="C107" s="102"/>
      <c r="D107" s="102"/>
      <c r="E107" s="102"/>
      <c r="F107" s="102"/>
      <c r="G107" s="307">
        <v>305267.43</v>
      </c>
      <c r="H107" s="308"/>
      <c r="I107" s="309"/>
      <c r="J107" s="47"/>
      <c r="K107" s="19"/>
      <c r="L107" s="101" t="s">
        <v>242</v>
      </c>
      <c r="M107" s="102"/>
      <c r="N107" s="102"/>
      <c r="O107" s="102"/>
      <c r="P107" s="102"/>
      <c r="Q107" s="307">
        <v>374091.83</v>
      </c>
      <c r="R107" s="308"/>
      <c r="S107" s="309"/>
    </row>
    <row r="108" spans="1:19" ht="18.75" customHeight="1" thickBot="1" x14ac:dyDescent="0.3">
      <c r="A108" s="19"/>
      <c r="B108" s="106" t="s">
        <v>444</v>
      </c>
      <c r="C108" s="107"/>
      <c r="D108" s="107"/>
      <c r="E108" s="107"/>
      <c r="F108" s="107"/>
      <c r="G108" s="307">
        <v>53714.25</v>
      </c>
      <c r="H108" s="308"/>
      <c r="I108" s="309"/>
      <c r="J108" s="47"/>
      <c r="K108" s="19"/>
      <c r="L108" s="106" t="s">
        <v>444</v>
      </c>
      <c r="M108" s="107"/>
      <c r="N108" s="107"/>
      <c r="O108" s="107"/>
      <c r="P108" s="107"/>
      <c r="Q108" s="307">
        <v>136315.6</v>
      </c>
      <c r="R108" s="308"/>
      <c r="S108" s="309"/>
    </row>
    <row r="109" spans="1:19" ht="29.25" customHeight="1" x14ac:dyDescent="0.25">
      <c r="A109" s="4"/>
      <c r="B109" s="310"/>
      <c r="C109" s="310"/>
      <c r="D109" s="310"/>
      <c r="E109" s="310"/>
      <c r="F109" s="310"/>
      <c r="G109" s="310"/>
      <c r="H109" s="310"/>
      <c r="I109" s="310"/>
      <c r="K109" s="4"/>
      <c r="L109" s="310"/>
      <c r="M109" s="310"/>
      <c r="N109" s="310"/>
      <c r="O109" s="310"/>
      <c r="P109" s="310"/>
      <c r="Q109" s="310"/>
      <c r="R109" s="310"/>
      <c r="S109" s="310"/>
    </row>
    <row r="110" spans="1:19" ht="15.75" x14ac:dyDescent="0.25">
      <c r="B110" s="30"/>
      <c r="K110" s="30"/>
      <c r="L110" s="30"/>
    </row>
    <row r="111" spans="1:19" ht="15.75" x14ac:dyDescent="0.25">
      <c r="B111" s="30"/>
      <c r="K111" s="30"/>
      <c r="L111" s="30"/>
    </row>
    <row r="112" spans="1:19" x14ac:dyDescent="0.25">
      <c r="A112" s="3"/>
      <c r="B112" s="3"/>
      <c r="C112" s="3"/>
      <c r="D112" s="3"/>
      <c r="E112" s="4" t="s">
        <v>204</v>
      </c>
      <c r="F112" s="3"/>
      <c r="G112" s="3"/>
      <c r="H112" s="3"/>
      <c r="I112" s="3"/>
      <c r="K112" s="3"/>
      <c r="L112" s="3"/>
      <c r="M112" s="3"/>
      <c r="N112" s="3"/>
      <c r="O112" s="4" t="s">
        <v>204</v>
      </c>
      <c r="P112" s="3"/>
      <c r="Q112" s="3"/>
      <c r="R112" s="3"/>
      <c r="S112" s="3"/>
    </row>
    <row r="113" spans="1:19" x14ac:dyDescent="0.25">
      <c r="A113" s="3" t="s">
        <v>205</v>
      </c>
      <c r="B113" s="3"/>
      <c r="C113" s="3"/>
      <c r="D113" s="3" t="s">
        <v>312</v>
      </c>
      <c r="E113" s="3"/>
      <c r="F113" s="3"/>
      <c r="G113" s="3"/>
      <c r="H113" s="3"/>
      <c r="I113" s="3"/>
      <c r="K113" s="3" t="s">
        <v>205</v>
      </c>
      <c r="L113" s="3"/>
      <c r="M113" s="3"/>
      <c r="N113" s="3" t="s">
        <v>313</v>
      </c>
      <c r="O113" s="3"/>
      <c r="P113" s="3"/>
      <c r="Q113" s="3"/>
      <c r="R113" s="3"/>
      <c r="S113" s="3"/>
    </row>
    <row r="114" spans="1:19" x14ac:dyDescent="0.25">
      <c r="A114" s="3"/>
      <c r="B114" s="5" t="s">
        <v>440</v>
      </c>
      <c r="C114" s="3"/>
      <c r="D114" s="3"/>
      <c r="E114" s="3"/>
      <c r="F114" s="3"/>
      <c r="G114" s="3"/>
      <c r="H114" s="3"/>
      <c r="I114" s="3"/>
      <c r="K114" s="3"/>
      <c r="L114" s="5" t="s">
        <v>440</v>
      </c>
      <c r="M114" s="3"/>
      <c r="N114" s="3"/>
      <c r="O114" s="3"/>
      <c r="P114" s="3"/>
      <c r="Q114" s="3"/>
      <c r="R114" s="3"/>
      <c r="S114" s="3"/>
    </row>
    <row r="115" spans="1:19" ht="15.75" thickBot="1" x14ac:dyDescent="0.3">
      <c r="A115" s="3"/>
      <c r="B115" s="5" t="s">
        <v>206</v>
      </c>
      <c r="C115" s="3"/>
      <c r="D115" s="3"/>
      <c r="E115" s="3"/>
      <c r="F115" s="3">
        <v>4542.5</v>
      </c>
      <c r="G115" s="3" t="s">
        <v>207</v>
      </c>
      <c r="H115" s="65"/>
      <c r="I115" s="3"/>
      <c r="J115" s="3"/>
      <c r="K115" s="3"/>
      <c r="L115" s="5" t="s">
        <v>206</v>
      </c>
      <c r="M115" s="3"/>
      <c r="N115" s="3"/>
      <c r="O115" s="3"/>
      <c r="P115" s="3">
        <v>6271.9</v>
      </c>
      <c r="Q115" s="3" t="s">
        <v>207</v>
      </c>
      <c r="R115" s="3"/>
      <c r="S115" s="3"/>
    </row>
    <row r="116" spans="1:19" ht="15.75" customHeight="1" thickBot="1" x14ac:dyDescent="0.3">
      <c r="A116" s="175" t="s">
        <v>209</v>
      </c>
      <c r="B116" s="177" t="s">
        <v>210</v>
      </c>
      <c r="C116" s="178"/>
      <c r="D116" s="178"/>
      <c r="E116" s="178"/>
      <c r="F116" s="178"/>
      <c r="G116" s="180" t="s">
        <v>441</v>
      </c>
      <c r="H116" s="181"/>
      <c r="I116" s="175" t="s">
        <v>212</v>
      </c>
      <c r="J116" s="3"/>
      <c r="K116" s="175" t="s">
        <v>209</v>
      </c>
      <c r="L116" s="177" t="s">
        <v>210</v>
      </c>
      <c r="M116" s="178"/>
      <c r="N116" s="178"/>
      <c r="O116" s="178"/>
      <c r="P116" s="178"/>
      <c r="Q116" s="180" t="s">
        <v>441</v>
      </c>
      <c r="R116" s="181"/>
      <c r="S116" s="175" t="s">
        <v>212</v>
      </c>
    </row>
    <row r="117" spans="1:19" ht="68.25" customHeight="1" thickBot="1" x14ac:dyDescent="0.3">
      <c r="A117" s="176"/>
      <c r="B117" s="179"/>
      <c r="C117" s="179"/>
      <c r="D117" s="179"/>
      <c r="E117" s="179"/>
      <c r="F117" s="179"/>
      <c r="G117" s="182"/>
      <c r="H117" s="183"/>
      <c r="I117" s="184"/>
      <c r="J117" s="31"/>
      <c r="K117" s="176"/>
      <c r="L117" s="179"/>
      <c r="M117" s="179"/>
      <c r="N117" s="179"/>
      <c r="O117" s="179"/>
      <c r="P117" s="179"/>
      <c r="Q117" s="182"/>
      <c r="R117" s="183"/>
      <c r="S117" s="184"/>
    </row>
    <row r="118" spans="1:19" ht="21.75" customHeight="1" thickBot="1" x14ac:dyDescent="0.3">
      <c r="A118" s="185" t="s">
        <v>213</v>
      </c>
      <c r="B118" s="187" t="s">
        <v>354</v>
      </c>
      <c r="C118" s="188"/>
      <c r="D118" s="188"/>
      <c r="E118" s="188"/>
      <c r="F118" s="188"/>
      <c r="G118" s="190">
        <v>118362.6</v>
      </c>
      <c r="H118" s="191"/>
      <c r="I118" s="192"/>
      <c r="J118" s="32"/>
      <c r="K118" s="185" t="s">
        <v>213</v>
      </c>
      <c r="L118" s="187" t="s">
        <v>354</v>
      </c>
      <c r="M118" s="188"/>
      <c r="N118" s="188"/>
      <c r="O118" s="188"/>
      <c r="P118" s="188"/>
      <c r="Q118" s="190">
        <v>135112.99</v>
      </c>
      <c r="R118" s="191"/>
      <c r="S118" s="192"/>
    </row>
    <row r="119" spans="1:19" ht="15.75" hidden="1" customHeight="1" x14ac:dyDescent="0.25">
      <c r="A119" s="186"/>
      <c r="B119" s="189"/>
      <c r="C119" s="189"/>
      <c r="D119" s="189"/>
      <c r="E119" s="189"/>
      <c r="F119" s="189"/>
      <c r="G119" s="193"/>
      <c r="H119" s="194"/>
      <c r="I119" s="128"/>
      <c r="J119" s="33"/>
      <c r="K119" s="186"/>
      <c r="L119" s="189"/>
      <c r="M119" s="189"/>
      <c r="N119" s="189"/>
      <c r="O119" s="189"/>
      <c r="P119" s="189"/>
      <c r="Q119" s="193"/>
      <c r="R119" s="194"/>
      <c r="S119" s="128"/>
    </row>
    <row r="120" spans="1:19" ht="16.5" customHeight="1" x14ac:dyDescent="0.25">
      <c r="A120" s="6"/>
      <c r="B120" s="161" t="s">
        <v>214</v>
      </c>
      <c r="C120" s="162"/>
      <c r="D120" s="162"/>
      <c r="E120" s="162"/>
      <c r="F120" s="162"/>
      <c r="G120" s="163">
        <f>1.89*12*F115</f>
        <v>103023.9</v>
      </c>
      <c r="H120" s="164"/>
      <c r="I120" s="169" t="s">
        <v>215</v>
      </c>
      <c r="J120" s="36"/>
      <c r="K120" s="6"/>
      <c r="L120" s="161" t="s">
        <v>214</v>
      </c>
      <c r="M120" s="162"/>
      <c r="N120" s="162"/>
      <c r="O120" s="162"/>
      <c r="P120" s="162"/>
      <c r="Q120" s="163">
        <f>1.85*12*P115</f>
        <v>139236.18000000002</v>
      </c>
      <c r="R120" s="164"/>
      <c r="S120" s="169" t="s">
        <v>215</v>
      </c>
    </row>
    <row r="121" spans="1:19" ht="38.25" customHeight="1" thickBot="1" x14ac:dyDescent="0.3">
      <c r="A121" s="7"/>
      <c r="B121" s="171" t="s">
        <v>216</v>
      </c>
      <c r="C121" s="172"/>
      <c r="D121" s="172"/>
      <c r="E121" s="172"/>
      <c r="F121" s="172"/>
      <c r="G121" s="165"/>
      <c r="H121" s="166"/>
      <c r="I121" s="170"/>
      <c r="J121" s="35"/>
      <c r="K121" s="7"/>
      <c r="L121" s="171" t="s">
        <v>216</v>
      </c>
      <c r="M121" s="172"/>
      <c r="N121" s="172"/>
      <c r="O121" s="172"/>
      <c r="P121" s="172"/>
      <c r="Q121" s="165"/>
      <c r="R121" s="166"/>
      <c r="S121" s="170"/>
    </row>
    <row r="122" spans="1:19" ht="13.5" customHeight="1" thickBot="1" x14ac:dyDescent="0.3">
      <c r="A122" s="7"/>
      <c r="B122" s="173" t="s">
        <v>217</v>
      </c>
      <c r="C122" s="174"/>
      <c r="D122" s="174"/>
      <c r="E122" s="174"/>
      <c r="F122" s="174"/>
      <c r="G122" s="167"/>
      <c r="H122" s="168"/>
      <c r="I122" s="8" t="s">
        <v>218</v>
      </c>
      <c r="J122" s="36"/>
      <c r="K122" s="7"/>
      <c r="L122" s="173" t="s">
        <v>217</v>
      </c>
      <c r="M122" s="174"/>
      <c r="N122" s="174"/>
      <c r="O122" s="174"/>
      <c r="P122" s="174"/>
      <c r="Q122" s="167"/>
      <c r="R122" s="168"/>
      <c r="S122" s="8" t="s">
        <v>218</v>
      </c>
    </row>
    <row r="123" spans="1:19" ht="24" customHeight="1" thickBot="1" x14ac:dyDescent="0.3">
      <c r="A123" s="7"/>
      <c r="B123" s="141" t="s">
        <v>219</v>
      </c>
      <c r="C123" s="142"/>
      <c r="D123" s="142"/>
      <c r="E123" s="142"/>
      <c r="F123" s="142"/>
      <c r="G123" s="143">
        <v>0</v>
      </c>
      <c r="H123" s="144"/>
      <c r="I123" s="8" t="s">
        <v>220</v>
      </c>
      <c r="J123" s="36"/>
      <c r="K123" s="7"/>
      <c r="L123" s="141" t="s">
        <v>219</v>
      </c>
      <c r="M123" s="142"/>
      <c r="N123" s="142"/>
      <c r="O123" s="142"/>
      <c r="P123" s="142"/>
      <c r="Q123" s="143">
        <v>0</v>
      </c>
      <c r="R123" s="144"/>
      <c r="S123" s="8" t="s">
        <v>220</v>
      </c>
    </row>
    <row r="124" spans="1:19" ht="24" customHeight="1" thickBot="1" x14ac:dyDescent="0.3">
      <c r="A124" s="7"/>
      <c r="B124" s="141" t="s">
        <v>221</v>
      </c>
      <c r="C124" s="142"/>
      <c r="D124" s="142"/>
      <c r="E124" s="142"/>
      <c r="F124" s="142"/>
      <c r="G124" s="143">
        <f>0.474*12*F115</f>
        <v>25837.739999999998</v>
      </c>
      <c r="H124" s="144"/>
      <c r="I124" s="8" t="s">
        <v>222</v>
      </c>
      <c r="J124" s="37"/>
      <c r="K124" s="7"/>
      <c r="L124" s="141" t="s">
        <v>221</v>
      </c>
      <c r="M124" s="142"/>
      <c r="N124" s="142"/>
      <c r="O124" s="142"/>
      <c r="P124" s="142"/>
      <c r="Q124" s="143">
        <f>0.474*12*P115</f>
        <v>35674.567199999998</v>
      </c>
      <c r="R124" s="144"/>
      <c r="S124" s="8" t="s">
        <v>222</v>
      </c>
    </row>
    <row r="125" spans="1:19" ht="13.5" customHeight="1" x14ac:dyDescent="0.25">
      <c r="A125" s="9"/>
      <c r="B125" s="145" t="s">
        <v>223</v>
      </c>
      <c r="C125" s="146"/>
      <c r="D125" s="146"/>
      <c r="E125" s="146"/>
      <c r="F125" s="146"/>
      <c r="G125" s="86">
        <f>2.19*12*F115</f>
        <v>119376.90000000001</v>
      </c>
      <c r="H125" s="147"/>
      <c r="I125" s="152" t="s">
        <v>224</v>
      </c>
      <c r="J125" s="38"/>
      <c r="K125" s="9"/>
      <c r="L125" s="145" t="s">
        <v>223</v>
      </c>
      <c r="M125" s="146"/>
      <c r="N125" s="146"/>
      <c r="O125" s="146"/>
      <c r="P125" s="146"/>
      <c r="Q125" s="86">
        <f>2.39*12*P115</f>
        <v>179878.09199999998</v>
      </c>
      <c r="R125" s="147"/>
      <c r="S125" s="152" t="s">
        <v>224</v>
      </c>
    </row>
    <row r="126" spans="1:19" ht="13.5" customHeight="1" x14ac:dyDescent="0.25">
      <c r="A126" s="10"/>
      <c r="B126" s="155" t="s">
        <v>226</v>
      </c>
      <c r="C126" s="156"/>
      <c r="D126" s="156"/>
      <c r="E126" s="156"/>
      <c r="F126" s="156"/>
      <c r="G126" s="148"/>
      <c r="H126" s="149"/>
      <c r="I126" s="153"/>
      <c r="J126" s="38"/>
      <c r="K126" s="10"/>
      <c r="L126" s="155" t="s">
        <v>226</v>
      </c>
      <c r="M126" s="156"/>
      <c r="N126" s="156"/>
      <c r="O126" s="156"/>
      <c r="P126" s="156"/>
      <c r="Q126" s="148"/>
      <c r="R126" s="149"/>
      <c r="S126" s="153"/>
    </row>
    <row r="127" spans="1:19" ht="13.5" customHeight="1" thickBot="1" x14ac:dyDescent="0.3">
      <c r="A127" s="10"/>
      <c r="B127" s="157" t="s">
        <v>227</v>
      </c>
      <c r="C127" s="158"/>
      <c r="D127" s="158"/>
      <c r="E127" s="158"/>
      <c r="F127" s="158"/>
      <c r="G127" s="148"/>
      <c r="H127" s="149"/>
      <c r="I127" s="154"/>
      <c r="J127" s="39"/>
      <c r="K127" s="10"/>
      <c r="L127" s="157" t="s">
        <v>227</v>
      </c>
      <c r="M127" s="158"/>
      <c r="N127" s="158"/>
      <c r="O127" s="158"/>
      <c r="P127" s="158"/>
      <c r="Q127" s="148"/>
      <c r="R127" s="149"/>
      <c r="S127" s="154"/>
    </row>
    <row r="128" spans="1:19" ht="13.5" customHeight="1" thickBot="1" x14ac:dyDescent="0.3">
      <c r="A128" s="10"/>
      <c r="B128" s="159" t="s">
        <v>228</v>
      </c>
      <c r="C128" s="160"/>
      <c r="D128" s="160"/>
      <c r="E128" s="160"/>
      <c r="F128" s="160"/>
      <c r="G128" s="150"/>
      <c r="H128" s="151"/>
      <c r="I128" s="11" t="s">
        <v>229</v>
      </c>
      <c r="J128" s="36"/>
      <c r="K128" s="10"/>
      <c r="L128" s="159" t="s">
        <v>228</v>
      </c>
      <c r="M128" s="160"/>
      <c r="N128" s="160"/>
      <c r="O128" s="160"/>
      <c r="P128" s="160"/>
      <c r="Q128" s="150"/>
      <c r="R128" s="151"/>
      <c r="S128" s="11" t="s">
        <v>229</v>
      </c>
    </row>
    <row r="129" spans="1:19" ht="13.5" customHeight="1" x14ac:dyDescent="0.25">
      <c r="A129" s="12"/>
      <c r="B129" s="125" t="s">
        <v>230</v>
      </c>
      <c r="C129" s="126"/>
      <c r="D129" s="126"/>
      <c r="E129" s="126"/>
      <c r="F129" s="126"/>
      <c r="G129" s="86">
        <f>0.048*12*F115</f>
        <v>2616.4800000000005</v>
      </c>
      <c r="H129" s="87"/>
      <c r="I129" s="129" t="s">
        <v>220</v>
      </c>
      <c r="J129" s="36"/>
      <c r="K129" s="12"/>
      <c r="L129" s="125" t="s">
        <v>230</v>
      </c>
      <c r="M129" s="126"/>
      <c r="N129" s="126"/>
      <c r="O129" s="126"/>
      <c r="P129" s="126"/>
      <c r="Q129" s="86">
        <f>0.048*12*P115</f>
        <v>3612.6144000000004</v>
      </c>
      <c r="R129" s="87"/>
      <c r="S129" s="129" t="s">
        <v>220</v>
      </c>
    </row>
    <row r="130" spans="1:19" ht="13.5" customHeight="1" thickBot="1" x14ac:dyDescent="0.3">
      <c r="A130" s="7"/>
      <c r="B130" s="131" t="s">
        <v>231</v>
      </c>
      <c r="C130" s="132"/>
      <c r="D130" s="132"/>
      <c r="E130" s="132"/>
      <c r="F130" s="132"/>
      <c r="G130" s="127"/>
      <c r="H130" s="128"/>
      <c r="I130" s="130"/>
      <c r="J130" s="36"/>
      <c r="K130" s="7"/>
      <c r="L130" s="131" t="s">
        <v>231</v>
      </c>
      <c r="M130" s="132"/>
      <c r="N130" s="132"/>
      <c r="O130" s="132"/>
      <c r="P130" s="132"/>
      <c r="Q130" s="127"/>
      <c r="R130" s="128"/>
      <c r="S130" s="130"/>
    </row>
    <row r="131" spans="1:19" ht="15.75" customHeight="1" thickBot="1" x14ac:dyDescent="0.3">
      <c r="A131" s="13"/>
      <c r="B131" s="133" t="s">
        <v>232</v>
      </c>
      <c r="C131" s="134"/>
      <c r="D131" s="134"/>
      <c r="E131" s="134"/>
      <c r="F131" s="134"/>
      <c r="G131" s="135"/>
      <c r="H131" s="136"/>
      <c r="I131" s="14"/>
      <c r="J131" s="36"/>
      <c r="K131" s="13"/>
      <c r="L131" s="133" t="s">
        <v>232</v>
      </c>
      <c r="M131" s="134"/>
      <c r="N131" s="134"/>
      <c r="O131" s="134"/>
      <c r="P131" s="134"/>
      <c r="Q131" s="135"/>
      <c r="R131" s="136"/>
      <c r="S131" s="14"/>
    </row>
    <row r="132" spans="1:19" ht="48.75" customHeight="1" thickBot="1" x14ac:dyDescent="0.3">
      <c r="A132" s="13"/>
      <c r="B132" s="84" t="s">
        <v>233</v>
      </c>
      <c r="C132" s="85"/>
      <c r="D132" s="85"/>
      <c r="E132" s="85"/>
      <c r="F132" s="85"/>
      <c r="G132" s="86">
        <f>1.99*12*F115</f>
        <v>108474.9</v>
      </c>
      <c r="H132" s="87"/>
      <c r="I132" s="317" t="s">
        <v>527</v>
      </c>
      <c r="J132" s="41"/>
      <c r="K132" s="13"/>
      <c r="L132" s="84" t="s">
        <v>233</v>
      </c>
      <c r="M132" s="85"/>
      <c r="N132" s="85"/>
      <c r="O132" s="85"/>
      <c r="P132" s="85"/>
      <c r="Q132" s="86">
        <f>2.15*12*P115</f>
        <v>161815.01999999996</v>
      </c>
      <c r="R132" s="87"/>
      <c r="S132" s="92" t="s">
        <v>532</v>
      </c>
    </row>
    <row r="133" spans="1:19" ht="60" customHeight="1" x14ac:dyDescent="0.25">
      <c r="A133" s="118"/>
      <c r="B133" s="121" t="s">
        <v>226</v>
      </c>
      <c r="C133" s="122"/>
      <c r="D133" s="122"/>
      <c r="E133" s="122"/>
      <c r="F133" s="122"/>
      <c r="G133" s="88"/>
      <c r="H133" s="89"/>
      <c r="I133" s="318"/>
      <c r="J133" s="41"/>
      <c r="K133" s="118"/>
      <c r="L133" s="121" t="s">
        <v>226</v>
      </c>
      <c r="M133" s="122"/>
      <c r="N133" s="122"/>
      <c r="O133" s="122"/>
      <c r="P133" s="122"/>
      <c r="Q133" s="88"/>
      <c r="R133" s="89"/>
      <c r="S133" s="93"/>
    </row>
    <row r="134" spans="1:19" ht="57" customHeight="1" x14ac:dyDescent="0.25">
      <c r="A134" s="119"/>
      <c r="B134" s="121" t="s">
        <v>227</v>
      </c>
      <c r="C134" s="122"/>
      <c r="D134" s="122"/>
      <c r="E134" s="122"/>
      <c r="F134" s="122"/>
      <c r="G134" s="88"/>
      <c r="H134" s="89"/>
      <c r="I134" s="318"/>
      <c r="J134" s="41"/>
      <c r="K134" s="119"/>
      <c r="L134" s="121" t="s">
        <v>227</v>
      </c>
      <c r="M134" s="122"/>
      <c r="N134" s="122"/>
      <c r="O134" s="122"/>
      <c r="P134" s="122"/>
      <c r="Q134" s="88"/>
      <c r="R134" s="89"/>
      <c r="S134" s="93"/>
    </row>
    <row r="135" spans="1:19" ht="45.75" customHeight="1" x14ac:dyDescent="0.25">
      <c r="A135" s="119"/>
      <c r="B135" s="121" t="s">
        <v>228</v>
      </c>
      <c r="C135" s="122"/>
      <c r="D135" s="122"/>
      <c r="E135" s="122"/>
      <c r="F135" s="122"/>
      <c r="G135" s="88"/>
      <c r="H135" s="89"/>
      <c r="I135" s="318"/>
      <c r="J135" s="42"/>
      <c r="K135" s="119"/>
      <c r="L135" s="121" t="s">
        <v>228</v>
      </c>
      <c r="M135" s="122"/>
      <c r="N135" s="122"/>
      <c r="O135" s="122"/>
      <c r="P135" s="122"/>
      <c r="Q135" s="88"/>
      <c r="R135" s="89"/>
      <c r="S135" s="93"/>
    </row>
    <row r="136" spans="1:19" ht="75.75" customHeight="1" thickBot="1" x14ac:dyDescent="0.3">
      <c r="A136" s="120"/>
      <c r="B136" s="123" t="s">
        <v>234</v>
      </c>
      <c r="C136" s="124"/>
      <c r="D136" s="124"/>
      <c r="E136" s="124"/>
      <c r="F136" s="124"/>
      <c r="G136" s="90"/>
      <c r="H136" s="91"/>
      <c r="I136" s="319"/>
      <c r="J136" s="43"/>
      <c r="K136" s="120"/>
      <c r="L136" s="123" t="s">
        <v>234</v>
      </c>
      <c r="M136" s="124"/>
      <c r="N136" s="124"/>
      <c r="O136" s="124"/>
      <c r="P136" s="124"/>
      <c r="Q136" s="90"/>
      <c r="R136" s="91"/>
      <c r="S136" s="94"/>
    </row>
    <row r="137" spans="1:19" ht="0.75" hidden="1" customHeight="1" x14ac:dyDescent="0.25">
      <c r="A137" s="15"/>
      <c r="B137" s="137"/>
      <c r="C137" s="138"/>
      <c r="D137" s="138"/>
      <c r="E137" s="138"/>
      <c r="F137" s="138"/>
      <c r="G137" s="139"/>
      <c r="H137" s="140"/>
      <c r="I137" s="16"/>
      <c r="J137" s="44"/>
      <c r="K137" s="15"/>
      <c r="L137" s="137"/>
      <c r="M137" s="138"/>
      <c r="N137" s="138"/>
      <c r="O137" s="138"/>
      <c r="P137" s="138"/>
      <c r="Q137" s="139"/>
      <c r="R137" s="140"/>
      <c r="S137" s="16"/>
    </row>
    <row r="138" spans="1:19" ht="28.5" hidden="1" customHeight="1" x14ac:dyDescent="0.25">
      <c r="A138" s="15"/>
      <c r="B138" s="137" t="s">
        <v>235</v>
      </c>
      <c r="C138" s="138"/>
      <c r="D138" s="138"/>
      <c r="E138" s="138"/>
      <c r="F138" s="138"/>
      <c r="G138" s="139"/>
      <c r="H138" s="140"/>
      <c r="I138" s="16"/>
      <c r="J138" s="40"/>
      <c r="K138" s="15"/>
      <c r="L138" s="137" t="s">
        <v>235</v>
      </c>
      <c r="M138" s="138"/>
      <c r="N138" s="138"/>
      <c r="O138" s="138"/>
      <c r="P138" s="138"/>
      <c r="Q138" s="139"/>
      <c r="R138" s="140"/>
      <c r="S138" s="16"/>
    </row>
    <row r="139" spans="1:19" ht="29.25" customHeight="1" thickBot="1" x14ac:dyDescent="0.3">
      <c r="A139" s="17"/>
      <c r="B139" s="78" t="s">
        <v>237</v>
      </c>
      <c r="C139" s="79"/>
      <c r="D139" s="79"/>
      <c r="E139" s="79"/>
      <c r="F139" s="79"/>
      <c r="G139" s="86">
        <v>6541</v>
      </c>
      <c r="H139" s="87"/>
      <c r="I139" s="108" t="s">
        <v>229</v>
      </c>
      <c r="J139" s="62"/>
      <c r="K139" s="17"/>
      <c r="L139" s="78" t="s">
        <v>237</v>
      </c>
      <c r="M139" s="79"/>
      <c r="N139" s="79"/>
      <c r="O139" s="79"/>
      <c r="P139" s="79"/>
      <c r="Q139" s="86">
        <v>8574</v>
      </c>
      <c r="R139" s="87"/>
      <c r="S139" s="108" t="s">
        <v>229</v>
      </c>
    </row>
    <row r="140" spans="1:19" ht="15.75" customHeight="1" thickBot="1" x14ac:dyDescent="0.3">
      <c r="A140" s="18"/>
      <c r="B140" s="110" t="s">
        <v>238</v>
      </c>
      <c r="C140" s="111"/>
      <c r="D140" s="111"/>
      <c r="E140" s="111"/>
      <c r="F140" s="111"/>
      <c r="G140" s="90"/>
      <c r="H140" s="91"/>
      <c r="I140" s="109"/>
      <c r="J140" s="46"/>
      <c r="K140" s="18"/>
      <c r="L140" s="110" t="s">
        <v>238</v>
      </c>
      <c r="M140" s="111"/>
      <c r="N140" s="111"/>
      <c r="O140" s="111"/>
      <c r="P140" s="111"/>
      <c r="Q140" s="90"/>
      <c r="R140" s="91"/>
      <c r="S140" s="109"/>
    </row>
    <row r="141" spans="1:19" ht="15.75" customHeight="1" thickBot="1" x14ac:dyDescent="0.3">
      <c r="A141" s="19"/>
      <c r="B141" s="112" t="s">
        <v>239</v>
      </c>
      <c r="C141" s="113"/>
      <c r="D141" s="113"/>
      <c r="E141" s="113"/>
      <c r="F141" s="113"/>
      <c r="G141" s="114">
        <f>SUM(G120:H140)</f>
        <v>365870.92</v>
      </c>
      <c r="H141" s="115"/>
      <c r="I141" s="20"/>
      <c r="J141" s="47"/>
      <c r="K141" s="19"/>
      <c r="L141" s="112" t="s">
        <v>239</v>
      </c>
      <c r="M141" s="113"/>
      <c r="N141" s="113"/>
      <c r="O141" s="113"/>
      <c r="P141" s="113"/>
      <c r="Q141" s="114">
        <f>SUM(Q120:R140)</f>
        <v>528790.47359999991</v>
      </c>
      <c r="R141" s="115"/>
      <c r="S141" s="20"/>
    </row>
    <row r="142" spans="1:19" ht="22.5" customHeight="1" thickBot="1" x14ac:dyDescent="0.3">
      <c r="A142" s="21"/>
      <c r="B142" s="101" t="s">
        <v>240</v>
      </c>
      <c r="C142" s="102"/>
      <c r="D142" s="102"/>
      <c r="E142" s="102"/>
      <c r="F142" s="102"/>
      <c r="G142" s="116">
        <f>G141*1.2</f>
        <v>439045.10399999999</v>
      </c>
      <c r="H142" s="117"/>
      <c r="I142" s="22"/>
      <c r="J142" s="47"/>
      <c r="K142" s="21"/>
      <c r="L142" s="101" t="s">
        <v>240</v>
      </c>
      <c r="M142" s="102"/>
      <c r="N142" s="102"/>
      <c r="O142" s="102"/>
      <c r="P142" s="102"/>
      <c r="Q142" s="116">
        <f>Q141*1.2</f>
        <v>634548.56831999985</v>
      </c>
      <c r="R142" s="117"/>
      <c r="S142" s="22"/>
    </row>
    <row r="143" spans="1:19" ht="22.5" customHeight="1" thickBot="1" x14ac:dyDescent="0.3">
      <c r="A143" s="24"/>
      <c r="B143" s="96" t="s">
        <v>443</v>
      </c>
      <c r="C143" s="97"/>
      <c r="D143" s="97"/>
      <c r="E143" s="97"/>
      <c r="F143" s="97"/>
      <c r="G143" s="311">
        <v>447082</v>
      </c>
      <c r="H143" s="312"/>
      <c r="I143" s="313"/>
      <c r="J143" s="47"/>
      <c r="K143" s="24"/>
      <c r="L143" s="96" t="s">
        <v>443</v>
      </c>
      <c r="M143" s="97"/>
      <c r="N143" s="97"/>
      <c r="O143" s="97"/>
      <c r="P143" s="97"/>
      <c r="Q143" s="311">
        <v>632666.61</v>
      </c>
      <c r="R143" s="312"/>
      <c r="S143" s="313"/>
    </row>
    <row r="144" spans="1:19" ht="22.5" customHeight="1" thickBot="1" x14ac:dyDescent="0.3">
      <c r="A144" s="19"/>
      <c r="B144" s="101" t="s">
        <v>242</v>
      </c>
      <c r="C144" s="102"/>
      <c r="D144" s="102"/>
      <c r="E144" s="102"/>
      <c r="F144" s="102"/>
      <c r="G144" s="307">
        <v>451153.8</v>
      </c>
      <c r="H144" s="308"/>
      <c r="I144" s="309"/>
      <c r="J144" s="48"/>
      <c r="K144" s="19"/>
      <c r="L144" s="101" t="s">
        <v>242</v>
      </c>
      <c r="M144" s="102"/>
      <c r="N144" s="102"/>
      <c r="O144" s="102"/>
      <c r="P144" s="102"/>
      <c r="Q144" s="307">
        <v>645858.55000000005</v>
      </c>
      <c r="R144" s="308"/>
      <c r="S144" s="309"/>
    </row>
    <row r="145" spans="1:19" ht="22.5" customHeight="1" thickBot="1" x14ac:dyDescent="0.3">
      <c r="A145" s="19"/>
      <c r="B145" s="106" t="s">
        <v>444</v>
      </c>
      <c r="C145" s="107"/>
      <c r="D145" s="107"/>
      <c r="E145" s="107"/>
      <c r="F145" s="107"/>
      <c r="G145" s="307">
        <v>114290.8</v>
      </c>
      <c r="H145" s="308"/>
      <c r="I145" s="309"/>
      <c r="J145" s="49"/>
      <c r="K145" s="19"/>
      <c r="L145" s="106" t="s">
        <v>444</v>
      </c>
      <c r="M145" s="107"/>
      <c r="N145" s="107"/>
      <c r="O145" s="107"/>
      <c r="P145" s="107"/>
      <c r="Q145" s="307">
        <v>121921.05</v>
      </c>
      <c r="R145" s="308"/>
      <c r="S145" s="309"/>
    </row>
    <row r="146" spans="1:19" ht="42.75" customHeight="1" x14ac:dyDescent="0.25">
      <c r="A146" s="4"/>
      <c r="B146" s="310"/>
      <c r="C146" s="310"/>
      <c r="D146" s="310"/>
      <c r="E146" s="310"/>
      <c r="F146" s="310"/>
      <c r="G146" s="310"/>
      <c r="H146" s="310"/>
      <c r="I146" s="310"/>
      <c r="K146" s="4"/>
      <c r="L146" s="195"/>
      <c r="M146" s="195"/>
      <c r="N146" s="195"/>
      <c r="O146" s="195"/>
      <c r="P146" s="195"/>
      <c r="Q146" s="195"/>
      <c r="R146" s="195"/>
      <c r="S146" s="195"/>
    </row>
    <row r="147" spans="1:19" ht="15.75" x14ac:dyDescent="0.25">
      <c r="A147" s="30"/>
      <c r="K147" s="30"/>
    </row>
    <row r="148" spans="1:19" ht="15.75" x14ac:dyDescent="0.25">
      <c r="A148" s="30"/>
      <c r="K148" s="30"/>
    </row>
    <row r="149" spans="1:19" x14ac:dyDescent="0.25">
      <c r="A149" s="3"/>
      <c r="B149" s="3"/>
      <c r="C149" s="3"/>
      <c r="D149" s="3"/>
      <c r="E149" s="4" t="s">
        <v>204</v>
      </c>
      <c r="F149" s="3"/>
      <c r="G149" s="3"/>
      <c r="H149" s="3"/>
      <c r="I149" s="3"/>
      <c r="K149" s="3"/>
      <c r="L149" s="3"/>
      <c r="M149" s="3"/>
      <c r="N149" s="3"/>
      <c r="O149" s="4" t="s">
        <v>204</v>
      </c>
      <c r="P149" s="3"/>
      <c r="Q149" s="3"/>
      <c r="R149" s="3"/>
      <c r="S149" s="3"/>
    </row>
    <row r="150" spans="1:19" x14ac:dyDescent="0.25">
      <c r="A150" s="3" t="s">
        <v>205</v>
      </c>
      <c r="B150" s="3"/>
      <c r="C150" s="3"/>
      <c r="D150" s="3" t="s">
        <v>314</v>
      </c>
      <c r="E150" s="3"/>
      <c r="F150" s="3"/>
      <c r="G150" s="3"/>
      <c r="H150" s="3"/>
      <c r="I150" s="3"/>
      <c r="K150" s="3" t="s">
        <v>205</v>
      </c>
      <c r="L150" s="3"/>
      <c r="M150" s="3"/>
      <c r="N150" s="3" t="s">
        <v>315</v>
      </c>
      <c r="O150" s="3"/>
      <c r="P150" s="3"/>
      <c r="Q150" s="3"/>
      <c r="R150" s="3"/>
      <c r="S150" s="3"/>
    </row>
    <row r="151" spans="1:19" x14ac:dyDescent="0.25">
      <c r="A151" s="3"/>
      <c r="B151" s="5" t="s">
        <v>440</v>
      </c>
      <c r="C151" s="3"/>
      <c r="D151" s="3"/>
      <c r="E151" s="3"/>
      <c r="F151" s="3"/>
      <c r="G151" s="3"/>
      <c r="H151" s="3"/>
      <c r="I151" s="3"/>
      <c r="K151" s="3"/>
      <c r="L151" s="5" t="s">
        <v>440</v>
      </c>
      <c r="M151" s="3"/>
      <c r="N151" s="3"/>
      <c r="O151" s="3"/>
      <c r="P151" s="3"/>
      <c r="Q151" s="3"/>
      <c r="R151" s="3"/>
      <c r="S151" s="3"/>
    </row>
    <row r="152" spans="1:19" ht="15.75" thickBot="1" x14ac:dyDescent="0.3">
      <c r="A152" s="3"/>
      <c r="B152" s="5" t="s">
        <v>206</v>
      </c>
      <c r="C152" s="3"/>
      <c r="D152" s="3"/>
      <c r="E152" s="3"/>
      <c r="F152" s="3">
        <v>6183</v>
      </c>
      <c r="G152" s="3" t="s">
        <v>207</v>
      </c>
      <c r="H152" s="3"/>
      <c r="I152" s="3"/>
      <c r="J152" s="3"/>
      <c r="K152" s="3"/>
      <c r="L152" s="5" t="s">
        <v>206</v>
      </c>
      <c r="M152" s="3"/>
      <c r="N152" s="3"/>
      <c r="O152" s="3"/>
      <c r="P152" s="3">
        <v>3812.8</v>
      </c>
      <c r="Q152" s="3" t="s">
        <v>207</v>
      </c>
      <c r="R152" s="3"/>
      <c r="S152" s="3"/>
    </row>
    <row r="153" spans="1:19" ht="15.75" customHeight="1" thickBot="1" x14ac:dyDescent="0.3">
      <c r="A153" s="175" t="s">
        <v>209</v>
      </c>
      <c r="B153" s="177" t="s">
        <v>210</v>
      </c>
      <c r="C153" s="178"/>
      <c r="D153" s="178"/>
      <c r="E153" s="178"/>
      <c r="F153" s="178"/>
      <c r="G153" s="180" t="s">
        <v>441</v>
      </c>
      <c r="H153" s="181"/>
      <c r="I153" s="175" t="s">
        <v>212</v>
      </c>
      <c r="J153" s="3"/>
      <c r="K153" s="175" t="s">
        <v>209</v>
      </c>
      <c r="L153" s="177" t="s">
        <v>210</v>
      </c>
      <c r="M153" s="178"/>
      <c r="N153" s="178"/>
      <c r="O153" s="178"/>
      <c r="P153" s="178"/>
      <c r="Q153" s="180" t="s">
        <v>441</v>
      </c>
      <c r="R153" s="181"/>
      <c r="S153" s="175" t="s">
        <v>212</v>
      </c>
    </row>
    <row r="154" spans="1:19" ht="66" customHeight="1" thickBot="1" x14ac:dyDescent="0.3">
      <c r="A154" s="176"/>
      <c r="B154" s="179"/>
      <c r="C154" s="179"/>
      <c r="D154" s="179"/>
      <c r="E154" s="179"/>
      <c r="F154" s="179"/>
      <c r="G154" s="182"/>
      <c r="H154" s="183"/>
      <c r="I154" s="184"/>
      <c r="J154" s="31"/>
      <c r="K154" s="176"/>
      <c r="L154" s="179"/>
      <c r="M154" s="179"/>
      <c r="N154" s="179"/>
      <c r="O154" s="179"/>
      <c r="P154" s="179"/>
      <c r="Q154" s="182"/>
      <c r="R154" s="183"/>
      <c r="S154" s="184"/>
    </row>
    <row r="155" spans="1:19" ht="19.5" customHeight="1" thickBot="1" x14ac:dyDescent="0.3">
      <c r="A155" s="185" t="s">
        <v>213</v>
      </c>
      <c r="B155" s="187" t="s">
        <v>354</v>
      </c>
      <c r="C155" s="188"/>
      <c r="D155" s="188"/>
      <c r="E155" s="188"/>
      <c r="F155" s="188"/>
      <c r="G155" s="190">
        <v>121499.74</v>
      </c>
      <c r="H155" s="191"/>
      <c r="I155" s="192"/>
      <c r="J155" s="32"/>
      <c r="K155" s="185" t="s">
        <v>213</v>
      </c>
      <c r="L155" s="187" t="s">
        <v>354</v>
      </c>
      <c r="M155" s="188"/>
      <c r="N155" s="188"/>
      <c r="O155" s="188"/>
      <c r="P155" s="188"/>
      <c r="Q155" s="190">
        <v>15178.17</v>
      </c>
      <c r="R155" s="191"/>
      <c r="S155" s="192"/>
    </row>
    <row r="156" spans="1:19" ht="15.75" hidden="1" customHeight="1" x14ac:dyDescent="0.25">
      <c r="A156" s="186"/>
      <c r="B156" s="189"/>
      <c r="C156" s="189"/>
      <c r="D156" s="189"/>
      <c r="E156" s="189"/>
      <c r="F156" s="189"/>
      <c r="G156" s="193"/>
      <c r="H156" s="194"/>
      <c r="I156" s="128"/>
      <c r="J156" s="33"/>
      <c r="K156" s="186"/>
      <c r="L156" s="189"/>
      <c r="M156" s="189"/>
      <c r="N156" s="189"/>
      <c r="O156" s="189"/>
      <c r="P156" s="189"/>
      <c r="Q156" s="193"/>
      <c r="R156" s="194"/>
      <c r="S156" s="128"/>
    </row>
    <row r="157" spans="1:19" ht="16.5" customHeight="1" x14ac:dyDescent="0.25">
      <c r="A157" s="6"/>
      <c r="B157" s="161" t="s">
        <v>214</v>
      </c>
      <c r="C157" s="162"/>
      <c r="D157" s="162"/>
      <c r="E157" s="162"/>
      <c r="F157" s="162"/>
      <c r="G157" s="163">
        <f>1.64*12*F152</f>
        <v>121681.44</v>
      </c>
      <c r="H157" s="164"/>
      <c r="I157" s="169" t="s">
        <v>215</v>
      </c>
      <c r="J157" s="36"/>
      <c r="K157" s="6"/>
      <c r="L157" s="161" t="s">
        <v>214</v>
      </c>
      <c r="M157" s="162"/>
      <c r="N157" s="162"/>
      <c r="O157" s="162"/>
      <c r="P157" s="162"/>
      <c r="Q157" s="163">
        <f>0.99*12*P152</f>
        <v>45296.063999999998</v>
      </c>
      <c r="R157" s="164"/>
      <c r="S157" s="169" t="s">
        <v>215</v>
      </c>
    </row>
    <row r="158" spans="1:19" ht="32.25" customHeight="1" thickBot="1" x14ac:dyDescent="0.3">
      <c r="A158" s="7"/>
      <c r="B158" s="171" t="s">
        <v>216</v>
      </c>
      <c r="C158" s="172"/>
      <c r="D158" s="172"/>
      <c r="E158" s="172"/>
      <c r="F158" s="172"/>
      <c r="G158" s="165"/>
      <c r="H158" s="166"/>
      <c r="I158" s="170"/>
      <c r="J158" s="35"/>
      <c r="K158" s="7"/>
      <c r="L158" s="171" t="s">
        <v>216</v>
      </c>
      <c r="M158" s="172"/>
      <c r="N158" s="172"/>
      <c r="O158" s="172"/>
      <c r="P158" s="172"/>
      <c r="Q158" s="165"/>
      <c r="R158" s="166"/>
      <c r="S158" s="170"/>
    </row>
    <row r="159" spans="1:19" ht="13.5" customHeight="1" thickBot="1" x14ac:dyDescent="0.3">
      <c r="A159" s="7"/>
      <c r="B159" s="173" t="s">
        <v>217</v>
      </c>
      <c r="C159" s="174"/>
      <c r="D159" s="174"/>
      <c r="E159" s="174"/>
      <c r="F159" s="174"/>
      <c r="G159" s="167"/>
      <c r="H159" s="168"/>
      <c r="I159" s="8" t="s">
        <v>218</v>
      </c>
      <c r="J159" s="36"/>
      <c r="K159" s="7"/>
      <c r="L159" s="173" t="s">
        <v>217</v>
      </c>
      <c r="M159" s="174"/>
      <c r="N159" s="174"/>
      <c r="O159" s="174"/>
      <c r="P159" s="174"/>
      <c r="Q159" s="167"/>
      <c r="R159" s="168"/>
      <c r="S159" s="8" t="s">
        <v>218</v>
      </c>
    </row>
    <row r="160" spans="1:19" ht="18.75" customHeight="1" thickBot="1" x14ac:dyDescent="0.3">
      <c r="A160" s="7"/>
      <c r="B160" s="141" t="s">
        <v>219</v>
      </c>
      <c r="C160" s="142"/>
      <c r="D160" s="142"/>
      <c r="E160" s="142"/>
      <c r="F160" s="142"/>
      <c r="G160" s="143">
        <v>0</v>
      </c>
      <c r="H160" s="144"/>
      <c r="I160" s="8" t="s">
        <v>220</v>
      </c>
      <c r="J160" s="36"/>
      <c r="K160" s="7"/>
      <c r="L160" s="141" t="s">
        <v>219</v>
      </c>
      <c r="M160" s="142"/>
      <c r="N160" s="142"/>
      <c r="O160" s="142"/>
      <c r="P160" s="142"/>
      <c r="Q160" s="143">
        <f>1748.85*2*12</f>
        <v>41972.399999999994</v>
      </c>
      <c r="R160" s="144"/>
      <c r="S160" s="8" t="s">
        <v>220</v>
      </c>
    </row>
    <row r="161" spans="1:19" ht="18.75" customHeight="1" thickBot="1" x14ac:dyDescent="0.3">
      <c r="A161" s="7"/>
      <c r="B161" s="141" t="s">
        <v>221</v>
      </c>
      <c r="C161" s="142"/>
      <c r="D161" s="142"/>
      <c r="E161" s="142"/>
      <c r="F161" s="142"/>
      <c r="G161" s="143">
        <f>0.474*12*F152</f>
        <v>35168.903999999995</v>
      </c>
      <c r="H161" s="144"/>
      <c r="I161" s="8" t="s">
        <v>222</v>
      </c>
      <c r="J161" s="37"/>
      <c r="K161" s="7"/>
      <c r="L161" s="141" t="s">
        <v>221</v>
      </c>
      <c r="M161" s="142"/>
      <c r="N161" s="142"/>
      <c r="O161" s="142"/>
      <c r="P161" s="142"/>
      <c r="Q161" s="143">
        <f>0.33*12*P152</f>
        <v>15098.688</v>
      </c>
      <c r="R161" s="144"/>
      <c r="S161" s="8" t="s">
        <v>222</v>
      </c>
    </row>
    <row r="162" spans="1:19" ht="13.5" customHeight="1" x14ac:dyDescent="0.25">
      <c r="A162" s="9"/>
      <c r="B162" s="145" t="s">
        <v>223</v>
      </c>
      <c r="C162" s="146"/>
      <c r="D162" s="146"/>
      <c r="E162" s="146"/>
      <c r="F162" s="146"/>
      <c r="G162" s="86">
        <f>2.14*12*F152</f>
        <v>158779.44</v>
      </c>
      <c r="H162" s="147"/>
      <c r="I162" s="152" t="s">
        <v>224</v>
      </c>
      <c r="J162" s="38"/>
      <c r="K162" s="9"/>
      <c r="L162" s="145" t="s">
        <v>223</v>
      </c>
      <c r="M162" s="146"/>
      <c r="N162" s="146"/>
      <c r="O162" s="146"/>
      <c r="P162" s="146"/>
      <c r="Q162" s="86">
        <f>1.45*12*P152</f>
        <v>66342.720000000001</v>
      </c>
      <c r="R162" s="147"/>
      <c r="S162" s="152" t="s">
        <v>224</v>
      </c>
    </row>
    <row r="163" spans="1:19" ht="13.5" customHeight="1" x14ac:dyDescent="0.25">
      <c r="A163" s="10"/>
      <c r="B163" s="155" t="s">
        <v>226</v>
      </c>
      <c r="C163" s="156"/>
      <c r="D163" s="156"/>
      <c r="E163" s="156"/>
      <c r="F163" s="156"/>
      <c r="G163" s="148"/>
      <c r="H163" s="149"/>
      <c r="I163" s="153"/>
      <c r="J163" s="38"/>
      <c r="K163" s="10"/>
      <c r="L163" s="155" t="s">
        <v>226</v>
      </c>
      <c r="M163" s="156"/>
      <c r="N163" s="156"/>
      <c r="O163" s="156"/>
      <c r="P163" s="156"/>
      <c r="Q163" s="148"/>
      <c r="R163" s="149"/>
      <c r="S163" s="153"/>
    </row>
    <row r="164" spans="1:19" ht="13.5" customHeight="1" thickBot="1" x14ac:dyDescent="0.3">
      <c r="A164" s="10"/>
      <c r="B164" s="157" t="s">
        <v>227</v>
      </c>
      <c r="C164" s="158"/>
      <c r="D164" s="158"/>
      <c r="E164" s="158"/>
      <c r="F164" s="158"/>
      <c r="G164" s="148"/>
      <c r="H164" s="149"/>
      <c r="I164" s="154"/>
      <c r="J164" s="39"/>
      <c r="K164" s="10"/>
      <c r="L164" s="157" t="s">
        <v>227</v>
      </c>
      <c r="M164" s="158"/>
      <c r="N164" s="158"/>
      <c r="O164" s="158"/>
      <c r="P164" s="158"/>
      <c r="Q164" s="148"/>
      <c r="R164" s="149"/>
      <c r="S164" s="154"/>
    </row>
    <row r="165" spans="1:19" ht="13.5" customHeight="1" thickBot="1" x14ac:dyDescent="0.3">
      <c r="A165" s="10"/>
      <c r="B165" s="159" t="s">
        <v>228</v>
      </c>
      <c r="C165" s="160"/>
      <c r="D165" s="160"/>
      <c r="E165" s="160"/>
      <c r="F165" s="160"/>
      <c r="G165" s="150"/>
      <c r="H165" s="151"/>
      <c r="I165" s="11" t="s">
        <v>229</v>
      </c>
      <c r="J165" s="36"/>
      <c r="K165" s="10"/>
      <c r="L165" s="159" t="s">
        <v>228</v>
      </c>
      <c r="M165" s="160"/>
      <c r="N165" s="160"/>
      <c r="O165" s="160"/>
      <c r="P165" s="160"/>
      <c r="Q165" s="150"/>
      <c r="R165" s="151"/>
      <c r="S165" s="11" t="s">
        <v>229</v>
      </c>
    </row>
    <row r="166" spans="1:19" ht="13.5" customHeight="1" x14ac:dyDescent="0.25">
      <c r="A166" s="12"/>
      <c r="B166" s="125" t="s">
        <v>230</v>
      </c>
      <c r="C166" s="126"/>
      <c r="D166" s="126"/>
      <c r="E166" s="126"/>
      <c r="F166" s="126"/>
      <c r="G166" s="86">
        <f>0.048*12*F152</f>
        <v>3561.4080000000004</v>
      </c>
      <c r="H166" s="87"/>
      <c r="I166" s="129" t="s">
        <v>220</v>
      </c>
      <c r="J166" s="36"/>
      <c r="K166" s="12"/>
      <c r="L166" s="125" t="s">
        <v>230</v>
      </c>
      <c r="M166" s="126"/>
      <c r="N166" s="126"/>
      <c r="O166" s="126"/>
      <c r="P166" s="126"/>
      <c r="Q166" s="86">
        <f>0.048*12*P152</f>
        <v>2196.1728000000003</v>
      </c>
      <c r="R166" s="87"/>
      <c r="S166" s="129" t="s">
        <v>220</v>
      </c>
    </row>
    <row r="167" spans="1:19" ht="13.5" customHeight="1" thickBot="1" x14ac:dyDescent="0.3">
      <c r="A167" s="7"/>
      <c r="B167" s="131" t="s">
        <v>231</v>
      </c>
      <c r="C167" s="132"/>
      <c r="D167" s="132"/>
      <c r="E167" s="132"/>
      <c r="F167" s="132"/>
      <c r="G167" s="127"/>
      <c r="H167" s="128"/>
      <c r="I167" s="130"/>
      <c r="J167" s="36"/>
      <c r="K167" s="7"/>
      <c r="L167" s="131" t="s">
        <v>231</v>
      </c>
      <c r="M167" s="132"/>
      <c r="N167" s="132"/>
      <c r="O167" s="132"/>
      <c r="P167" s="132"/>
      <c r="Q167" s="127"/>
      <c r="R167" s="128"/>
      <c r="S167" s="130"/>
    </row>
    <row r="168" spans="1:19" ht="15.75" customHeight="1" thickBot="1" x14ac:dyDescent="0.3">
      <c r="A168" s="13"/>
      <c r="B168" s="133" t="s">
        <v>232</v>
      </c>
      <c r="C168" s="134"/>
      <c r="D168" s="134"/>
      <c r="E168" s="134"/>
      <c r="F168" s="134"/>
      <c r="G168" s="135"/>
      <c r="H168" s="136"/>
      <c r="I168" s="14"/>
      <c r="J168" s="36"/>
      <c r="K168" s="13"/>
      <c r="L168" s="133" t="s">
        <v>232</v>
      </c>
      <c r="M168" s="134"/>
      <c r="N168" s="134"/>
      <c r="O168" s="134"/>
      <c r="P168" s="134"/>
      <c r="Q168" s="135"/>
      <c r="R168" s="136"/>
      <c r="S168" s="14"/>
    </row>
    <row r="169" spans="1:19" ht="36.75" customHeight="1" thickBot="1" x14ac:dyDescent="0.3">
      <c r="A169" s="13"/>
      <c r="B169" s="84" t="s">
        <v>233</v>
      </c>
      <c r="C169" s="85"/>
      <c r="D169" s="85"/>
      <c r="E169" s="85"/>
      <c r="F169" s="85"/>
      <c r="G169" s="86">
        <f>1.7*12*F152</f>
        <v>126133.2</v>
      </c>
      <c r="H169" s="87"/>
      <c r="I169" s="92" t="s">
        <v>534</v>
      </c>
      <c r="J169" s="41"/>
      <c r="K169" s="13"/>
      <c r="L169" s="84" t="s">
        <v>233</v>
      </c>
      <c r="M169" s="85"/>
      <c r="N169" s="85"/>
      <c r="O169" s="85"/>
      <c r="P169" s="85"/>
      <c r="Q169" s="86">
        <f>1.13*12*P152</f>
        <v>51701.567999999999</v>
      </c>
      <c r="R169" s="87"/>
      <c r="S169" s="92" t="s">
        <v>535</v>
      </c>
    </row>
    <row r="170" spans="1:19" ht="51" customHeight="1" x14ac:dyDescent="0.25">
      <c r="A170" s="118"/>
      <c r="B170" s="121" t="s">
        <v>226</v>
      </c>
      <c r="C170" s="122"/>
      <c r="D170" s="122"/>
      <c r="E170" s="122"/>
      <c r="F170" s="122"/>
      <c r="G170" s="88"/>
      <c r="H170" s="89"/>
      <c r="I170" s="93"/>
      <c r="J170" s="41"/>
      <c r="K170" s="118"/>
      <c r="L170" s="121" t="s">
        <v>226</v>
      </c>
      <c r="M170" s="122"/>
      <c r="N170" s="122"/>
      <c r="O170" s="122"/>
      <c r="P170" s="122"/>
      <c r="Q170" s="88"/>
      <c r="R170" s="89"/>
      <c r="S170" s="93"/>
    </row>
    <row r="171" spans="1:19" ht="44.25" customHeight="1" x14ac:dyDescent="0.25">
      <c r="A171" s="119"/>
      <c r="B171" s="121" t="s">
        <v>227</v>
      </c>
      <c r="C171" s="122"/>
      <c r="D171" s="122"/>
      <c r="E171" s="122"/>
      <c r="F171" s="122"/>
      <c r="G171" s="88"/>
      <c r="H171" s="89"/>
      <c r="I171" s="93"/>
      <c r="J171" s="41"/>
      <c r="K171" s="119"/>
      <c r="L171" s="121" t="s">
        <v>227</v>
      </c>
      <c r="M171" s="122"/>
      <c r="N171" s="122"/>
      <c r="O171" s="122"/>
      <c r="P171" s="122"/>
      <c r="Q171" s="88"/>
      <c r="R171" s="89"/>
      <c r="S171" s="93"/>
    </row>
    <row r="172" spans="1:19" ht="49.5" customHeight="1" x14ac:dyDescent="0.25">
      <c r="A172" s="119"/>
      <c r="B172" s="121" t="s">
        <v>228</v>
      </c>
      <c r="C172" s="122"/>
      <c r="D172" s="122"/>
      <c r="E172" s="122"/>
      <c r="F172" s="122"/>
      <c r="G172" s="88"/>
      <c r="H172" s="89"/>
      <c r="I172" s="93"/>
      <c r="J172" s="41"/>
      <c r="K172" s="119"/>
      <c r="L172" s="121" t="s">
        <v>228</v>
      </c>
      <c r="M172" s="122"/>
      <c r="N172" s="122"/>
      <c r="O172" s="122"/>
      <c r="P172" s="122"/>
      <c r="Q172" s="88"/>
      <c r="R172" s="89"/>
      <c r="S172" s="93"/>
    </row>
    <row r="173" spans="1:19" ht="84" customHeight="1" thickBot="1" x14ac:dyDescent="0.3">
      <c r="A173" s="120"/>
      <c r="B173" s="123" t="s">
        <v>234</v>
      </c>
      <c r="C173" s="124"/>
      <c r="D173" s="124"/>
      <c r="E173" s="124"/>
      <c r="F173" s="124"/>
      <c r="G173" s="90"/>
      <c r="H173" s="91"/>
      <c r="I173" s="94"/>
      <c r="J173" s="42"/>
      <c r="K173" s="120"/>
      <c r="L173" s="123" t="s">
        <v>234</v>
      </c>
      <c r="M173" s="124"/>
      <c r="N173" s="124"/>
      <c r="O173" s="124"/>
      <c r="P173" s="124"/>
      <c r="Q173" s="90"/>
      <c r="R173" s="91"/>
      <c r="S173" s="94"/>
    </row>
    <row r="174" spans="1:19" ht="14.25" customHeight="1" thickBot="1" x14ac:dyDescent="0.3">
      <c r="A174" s="15"/>
      <c r="B174" s="137"/>
      <c r="C174" s="138"/>
      <c r="D174" s="138"/>
      <c r="E174" s="138"/>
      <c r="F174" s="138"/>
      <c r="G174" s="139"/>
      <c r="H174" s="140"/>
      <c r="I174" s="16"/>
      <c r="J174" s="43"/>
      <c r="K174" s="15"/>
      <c r="L174" s="137"/>
      <c r="M174" s="138"/>
      <c r="N174" s="138"/>
      <c r="O174" s="138"/>
      <c r="P174" s="138"/>
      <c r="Q174" s="139"/>
      <c r="R174" s="140"/>
      <c r="S174" s="16"/>
    </row>
    <row r="175" spans="1:19" ht="25.5" hidden="1" customHeight="1" x14ac:dyDescent="0.25">
      <c r="A175" s="15"/>
      <c r="B175" s="137" t="s">
        <v>235</v>
      </c>
      <c r="C175" s="138"/>
      <c r="D175" s="138"/>
      <c r="E175" s="138"/>
      <c r="F175" s="138"/>
      <c r="G175" s="139"/>
      <c r="H175" s="140"/>
      <c r="I175" s="16"/>
      <c r="J175" s="44"/>
      <c r="K175" s="15"/>
      <c r="L175" s="137" t="s">
        <v>235</v>
      </c>
      <c r="M175" s="138"/>
      <c r="N175" s="138"/>
      <c r="O175" s="138"/>
      <c r="P175" s="138"/>
      <c r="Q175" s="139"/>
      <c r="R175" s="140"/>
      <c r="S175" s="16"/>
    </row>
    <row r="176" spans="1:19" ht="33.75" customHeight="1" thickBot="1" x14ac:dyDescent="0.3">
      <c r="A176" s="17"/>
      <c r="B176" s="78" t="s">
        <v>237</v>
      </c>
      <c r="C176" s="79"/>
      <c r="D176" s="79"/>
      <c r="E176" s="79"/>
      <c r="F176" s="79"/>
      <c r="G176" s="86">
        <v>8161</v>
      </c>
      <c r="H176" s="87"/>
      <c r="I176" s="108" t="s">
        <v>229</v>
      </c>
      <c r="J176" s="40"/>
      <c r="K176" s="17"/>
      <c r="L176" s="78" t="s">
        <v>237</v>
      </c>
      <c r="M176" s="79"/>
      <c r="N176" s="79"/>
      <c r="O176" s="79"/>
      <c r="P176" s="79"/>
      <c r="Q176" s="86">
        <f>10532+24397</f>
        <v>34929</v>
      </c>
      <c r="R176" s="87"/>
      <c r="S176" s="108" t="s">
        <v>229</v>
      </c>
    </row>
    <row r="177" spans="1:19" ht="15.75" thickBot="1" x14ac:dyDescent="0.3">
      <c r="A177" s="18"/>
      <c r="B177" s="110" t="s">
        <v>238</v>
      </c>
      <c r="C177" s="111"/>
      <c r="D177" s="111"/>
      <c r="E177" s="111"/>
      <c r="F177" s="111"/>
      <c r="G177" s="90"/>
      <c r="H177" s="91"/>
      <c r="I177" s="109"/>
      <c r="J177" s="45"/>
      <c r="K177" s="18"/>
      <c r="L177" s="110" t="s">
        <v>238</v>
      </c>
      <c r="M177" s="111"/>
      <c r="N177" s="111"/>
      <c r="O177" s="111"/>
      <c r="P177" s="111"/>
      <c r="Q177" s="90"/>
      <c r="R177" s="91"/>
      <c r="S177" s="109"/>
    </row>
    <row r="178" spans="1:19" ht="15.75" thickBot="1" x14ac:dyDescent="0.3">
      <c r="A178" s="19"/>
      <c r="B178" s="112" t="s">
        <v>239</v>
      </c>
      <c r="C178" s="113"/>
      <c r="D178" s="113"/>
      <c r="E178" s="113"/>
      <c r="F178" s="113"/>
      <c r="G178" s="114">
        <f>SUM(G157:H177)</f>
        <v>453485.39199999999</v>
      </c>
      <c r="H178" s="115"/>
      <c r="I178" s="20"/>
      <c r="J178" s="46"/>
      <c r="K178" s="19"/>
      <c r="L178" s="112" t="s">
        <v>239</v>
      </c>
      <c r="M178" s="113"/>
      <c r="N178" s="113"/>
      <c r="O178" s="113"/>
      <c r="P178" s="113"/>
      <c r="Q178" s="114">
        <f>SUM(Q157:R177)</f>
        <v>257536.61279999997</v>
      </c>
      <c r="R178" s="115"/>
      <c r="S178" s="20"/>
    </row>
    <row r="179" spans="1:19" ht="20.25" customHeight="1" thickBot="1" x14ac:dyDescent="0.3">
      <c r="A179" s="21"/>
      <c r="B179" s="101" t="s">
        <v>240</v>
      </c>
      <c r="C179" s="102"/>
      <c r="D179" s="102"/>
      <c r="E179" s="102"/>
      <c r="F179" s="102"/>
      <c r="G179" s="116">
        <f>G178*1.2</f>
        <v>544182.47039999999</v>
      </c>
      <c r="H179" s="117"/>
      <c r="I179" s="22"/>
      <c r="J179" s="47"/>
      <c r="K179" s="21"/>
      <c r="L179" s="101" t="s">
        <v>240</v>
      </c>
      <c r="M179" s="102"/>
      <c r="N179" s="102"/>
      <c r="O179" s="102"/>
      <c r="P179" s="102"/>
      <c r="Q179" s="116">
        <f>Q178*1.2</f>
        <v>309043.93535999994</v>
      </c>
      <c r="R179" s="117"/>
      <c r="S179" s="22"/>
    </row>
    <row r="180" spans="1:19" ht="20.25" customHeight="1" thickBot="1" x14ac:dyDescent="0.3">
      <c r="A180" s="24"/>
      <c r="B180" s="96" t="s">
        <v>443</v>
      </c>
      <c r="C180" s="97"/>
      <c r="D180" s="97"/>
      <c r="E180" s="97"/>
      <c r="F180" s="97"/>
      <c r="G180" s="311">
        <v>545247.97</v>
      </c>
      <c r="H180" s="312"/>
      <c r="I180" s="313"/>
      <c r="J180" s="47"/>
      <c r="K180" s="24"/>
      <c r="L180" s="96" t="s">
        <v>443</v>
      </c>
      <c r="M180" s="97"/>
      <c r="N180" s="97"/>
      <c r="O180" s="97"/>
      <c r="P180" s="97"/>
      <c r="Q180" s="311">
        <v>304829.44</v>
      </c>
      <c r="R180" s="312"/>
      <c r="S180" s="313"/>
    </row>
    <row r="181" spans="1:19" ht="20.25" customHeight="1" thickBot="1" x14ac:dyDescent="0.3">
      <c r="A181" s="19"/>
      <c r="B181" s="101" t="s">
        <v>242</v>
      </c>
      <c r="C181" s="102"/>
      <c r="D181" s="102"/>
      <c r="E181" s="102"/>
      <c r="F181" s="102"/>
      <c r="G181" s="307">
        <v>534036</v>
      </c>
      <c r="H181" s="308"/>
      <c r="I181" s="309"/>
      <c r="J181" s="47"/>
      <c r="K181" s="19"/>
      <c r="L181" s="101" t="s">
        <v>242</v>
      </c>
      <c r="M181" s="102"/>
      <c r="N181" s="102"/>
      <c r="O181" s="102"/>
      <c r="P181" s="102"/>
      <c r="Q181" s="307">
        <v>297636.28000000003</v>
      </c>
      <c r="R181" s="308"/>
      <c r="S181" s="309"/>
    </row>
    <row r="182" spans="1:19" ht="20.25" customHeight="1" thickBot="1" x14ac:dyDescent="0.3">
      <c r="A182" s="19"/>
      <c r="B182" s="106" t="s">
        <v>444</v>
      </c>
      <c r="C182" s="107"/>
      <c r="D182" s="107"/>
      <c r="E182" s="107"/>
      <c r="F182" s="107"/>
      <c r="G182" s="307">
        <v>132711.71</v>
      </c>
      <c r="H182" s="308"/>
      <c r="I182" s="309"/>
      <c r="J182" s="47"/>
      <c r="K182" s="19"/>
      <c r="L182" s="106" t="s">
        <v>444</v>
      </c>
      <c r="M182" s="107"/>
      <c r="N182" s="107"/>
      <c r="O182" s="107"/>
      <c r="P182" s="107"/>
      <c r="Q182" s="307">
        <v>22371.33</v>
      </c>
      <c r="R182" s="308"/>
      <c r="S182" s="309"/>
    </row>
    <row r="183" spans="1:19" ht="42" customHeight="1" x14ac:dyDescent="0.25">
      <c r="A183" s="30"/>
      <c r="B183" s="323" t="s">
        <v>533</v>
      </c>
      <c r="C183" s="329"/>
      <c r="D183" s="329"/>
      <c r="E183" s="329"/>
      <c r="F183" s="329"/>
      <c r="G183" s="329"/>
      <c r="H183" s="329"/>
      <c r="I183" s="329"/>
      <c r="K183" s="30"/>
      <c r="L183" s="323"/>
      <c r="M183" s="323"/>
      <c r="N183" s="323"/>
      <c r="O183" s="323"/>
      <c r="P183" s="323"/>
      <c r="Q183" s="323"/>
      <c r="R183" s="323"/>
      <c r="S183" s="323"/>
    </row>
    <row r="184" spans="1:19" ht="15.75" x14ac:dyDescent="0.25">
      <c r="A184" s="30"/>
      <c r="C184" s="30"/>
      <c r="K184" s="30"/>
      <c r="N184" s="30"/>
    </row>
    <row r="185" spans="1:19" ht="15.75" x14ac:dyDescent="0.25">
      <c r="A185" s="30"/>
      <c r="C185" s="30"/>
      <c r="K185" s="30"/>
      <c r="N185" s="30"/>
    </row>
    <row r="186" spans="1:19" x14ac:dyDescent="0.25">
      <c r="A186" s="3"/>
      <c r="B186" s="3"/>
      <c r="C186" s="3"/>
      <c r="D186" s="3"/>
      <c r="E186" s="4" t="s">
        <v>204</v>
      </c>
      <c r="F186" s="3"/>
      <c r="G186" s="3"/>
      <c r="H186" s="3"/>
      <c r="I186" s="3"/>
      <c r="K186" s="3"/>
      <c r="L186" s="3"/>
      <c r="M186" s="3"/>
      <c r="N186" s="3"/>
      <c r="O186" s="4" t="s">
        <v>204</v>
      </c>
      <c r="P186" s="3"/>
      <c r="Q186" s="3"/>
      <c r="R186" s="3"/>
      <c r="S186" s="3"/>
    </row>
    <row r="187" spans="1:19" x14ac:dyDescent="0.25">
      <c r="A187" s="3" t="s">
        <v>205</v>
      </c>
      <c r="B187" s="3"/>
      <c r="C187" s="3"/>
      <c r="D187" s="3" t="s">
        <v>316</v>
      </c>
      <c r="E187" s="3"/>
      <c r="F187" s="3"/>
      <c r="G187" s="3"/>
      <c r="H187" s="3"/>
      <c r="I187" s="3"/>
      <c r="K187" s="3" t="s">
        <v>205</v>
      </c>
      <c r="L187" s="3"/>
      <c r="M187" s="3"/>
      <c r="N187" s="3" t="s">
        <v>317</v>
      </c>
      <c r="O187" s="3"/>
      <c r="P187" s="3"/>
      <c r="Q187" s="3"/>
      <c r="R187" s="3"/>
      <c r="S187" s="3"/>
    </row>
    <row r="188" spans="1:19" x14ac:dyDescent="0.25">
      <c r="A188" s="3"/>
      <c r="B188" s="5" t="s">
        <v>440</v>
      </c>
      <c r="C188" s="3"/>
      <c r="D188" s="3"/>
      <c r="E188" s="3"/>
      <c r="F188" s="3"/>
      <c r="G188" s="3"/>
      <c r="H188" s="3"/>
      <c r="I188" s="3"/>
      <c r="K188" s="3"/>
      <c r="L188" s="5" t="s">
        <v>440</v>
      </c>
      <c r="M188" s="3"/>
      <c r="N188" s="3"/>
      <c r="O188" s="3"/>
      <c r="P188" s="3"/>
      <c r="Q188" s="3"/>
      <c r="R188" s="3"/>
      <c r="S188" s="3"/>
    </row>
    <row r="189" spans="1:19" x14ac:dyDescent="0.25">
      <c r="A189" s="3"/>
      <c r="B189" s="5" t="s">
        <v>206</v>
      </c>
      <c r="C189" s="3"/>
      <c r="D189" s="3"/>
      <c r="E189" s="3"/>
      <c r="F189" s="3">
        <v>4167.2</v>
      </c>
      <c r="G189" s="3" t="s">
        <v>207</v>
      </c>
      <c r="H189" s="3"/>
      <c r="I189" s="3"/>
      <c r="K189" s="3"/>
      <c r="L189" s="5" t="s">
        <v>206</v>
      </c>
      <c r="M189" s="3"/>
      <c r="N189" s="3"/>
      <c r="O189" s="3"/>
      <c r="P189" s="3">
        <v>7665.5</v>
      </c>
      <c r="Q189" s="3" t="s">
        <v>207</v>
      </c>
      <c r="R189" s="3"/>
      <c r="S189" s="3"/>
    </row>
    <row r="190" spans="1:19" ht="15.75" thickBot="1" x14ac:dyDescent="0.3">
      <c r="A190" s="3"/>
      <c r="B190" s="3"/>
      <c r="C190" s="3"/>
      <c r="D190" s="4"/>
      <c r="E190" s="4"/>
      <c r="F190" s="3"/>
      <c r="G190" s="3"/>
      <c r="H190" s="3"/>
      <c r="I190" s="3"/>
      <c r="J190" s="3"/>
      <c r="K190" s="3"/>
      <c r="L190" s="3"/>
      <c r="M190" s="3"/>
      <c r="N190" s="4"/>
      <c r="O190" s="4"/>
      <c r="P190" s="3"/>
      <c r="Q190" s="3"/>
      <c r="R190" s="65"/>
      <c r="S190" s="3"/>
    </row>
    <row r="191" spans="1:19" ht="15" customHeight="1" x14ac:dyDescent="0.25">
      <c r="A191" s="175" t="s">
        <v>209</v>
      </c>
      <c r="B191" s="177" t="s">
        <v>210</v>
      </c>
      <c r="C191" s="178"/>
      <c r="D191" s="178"/>
      <c r="E191" s="178"/>
      <c r="F191" s="178"/>
      <c r="G191" s="180" t="s">
        <v>441</v>
      </c>
      <c r="H191" s="181"/>
      <c r="I191" s="175" t="s">
        <v>212</v>
      </c>
      <c r="J191" s="3"/>
      <c r="K191" s="175" t="s">
        <v>209</v>
      </c>
      <c r="L191" s="177" t="s">
        <v>210</v>
      </c>
      <c r="M191" s="178"/>
      <c r="N191" s="178"/>
      <c r="O191" s="178"/>
      <c r="P191" s="178"/>
      <c r="Q191" s="180" t="s">
        <v>441</v>
      </c>
      <c r="R191" s="181"/>
      <c r="S191" s="175" t="s">
        <v>212</v>
      </c>
    </row>
    <row r="192" spans="1:19" ht="76.5" customHeight="1" thickBot="1" x14ac:dyDescent="0.3">
      <c r="A192" s="176"/>
      <c r="B192" s="179"/>
      <c r="C192" s="179"/>
      <c r="D192" s="179"/>
      <c r="E192" s="179"/>
      <c r="F192" s="179"/>
      <c r="G192" s="182"/>
      <c r="H192" s="183"/>
      <c r="I192" s="184"/>
      <c r="J192" s="3"/>
      <c r="K192" s="176"/>
      <c r="L192" s="179"/>
      <c r="M192" s="179"/>
      <c r="N192" s="179"/>
      <c r="O192" s="179"/>
      <c r="P192" s="179"/>
      <c r="Q192" s="182"/>
      <c r="R192" s="183"/>
      <c r="S192" s="184"/>
    </row>
    <row r="193" spans="1:19" ht="15" customHeight="1" x14ac:dyDescent="0.25">
      <c r="A193" s="185" t="s">
        <v>213</v>
      </c>
      <c r="B193" s="187" t="s">
        <v>354</v>
      </c>
      <c r="C193" s="188"/>
      <c r="D193" s="188"/>
      <c r="E193" s="188"/>
      <c r="F193" s="188"/>
      <c r="G193" s="190">
        <v>51531.82</v>
      </c>
      <c r="H193" s="191"/>
      <c r="I193" s="192"/>
      <c r="J193" s="51"/>
      <c r="K193" s="185" t="s">
        <v>213</v>
      </c>
      <c r="L193" s="187" t="s">
        <v>354</v>
      </c>
      <c r="M193" s="188"/>
      <c r="N193" s="188"/>
      <c r="O193" s="188"/>
      <c r="P193" s="188"/>
      <c r="Q193" s="190">
        <v>219365.94</v>
      </c>
      <c r="R193" s="191"/>
      <c r="S193" s="192"/>
    </row>
    <row r="194" spans="1:19" ht="8.25" customHeight="1" thickBot="1" x14ac:dyDescent="0.3">
      <c r="A194" s="186"/>
      <c r="B194" s="189"/>
      <c r="C194" s="189"/>
      <c r="D194" s="189"/>
      <c r="E194" s="189"/>
      <c r="F194" s="189"/>
      <c r="G194" s="193"/>
      <c r="H194" s="194"/>
      <c r="I194" s="128"/>
      <c r="J194" s="52"/>
      <c r="K194" s="186"/>
      <c r="L194" s="189"/>
      <c r="M194" s="189"/>
      <c r="N194" s="189"/>
      <c r="O194" s="189"/>
      <c r="P194" s="189"/>
      <c r="Q194" s="193"/>
      <c r="R194" s="194"/>
      <c r="S194" s="128"/>
    </row>
    <row r="195" spans="1:19" ht="15" customHeight="1" x14ac:dyDescent="0.25">
      <c r="A195" s="6"/>
      <c r="B195" s="161" t="s">
        <v>214</v>
      </c>
      <c r="C195" s="162"/>
      <c r="D195" s="162"/>
      <c r="E195" s="162"/>
      <c r="F195" s="162"/>
      <c r="G195" s="163">
        <f>1.42*12*F189</f>
        <v>71009.087999999989</v>
      </c>
      <c r="H195" s="164"/>
      <c r="I195" s="169" t="s">
        <v>215</v>
      </c>
      <c r="J195" s="63"/>
      <c r="K195" s="6"/>
      <c r="L195" s="161" t="s">
        <v>214</v>
      </c>
      <c r="M195" s="162"/>
      <c r="N195" s="162"/>
      <c r="O195" s="162"/>
      <c r="P195" s="162"/>
      <c r="Q195" s="163">
        <f>1.41*12*P189</f>
        <v>129700.25999999998</v>
      </c>
      <c r="R195" s="164"/>
      <c r="S195" s="169" t="s">
        <v>215</v>
      </c>
    </row>
    <row r="196" spans="1:19" ht="31.5" customHeight="1" thickBot="1" x14ac:dyDescent="0.3">
      <c r="A196" s="7"/>
      <c r="B196" s="171" t="s">
        <v>216</v>
      </c>
      <c r="C196" s="172"/>
      <c r="D196" s="172"/>
      <c r="E196" s="172"/>
      <c r="F196" s="172"/>
      <c r="G196" s="165"/>
      <c r="H196" s="166"/>
      <c r="I196" s="170"/>
      <c r="J196" s="43"/>
      <c r="K196" s="7"/>
      <c r="L196" s="171" t="s">
        <v>216</v>
      </c>
      <c r="M196" s="172"/>
      <c r="N196" s="172"/>
      <c r="O196" s="172"/>
      <c r="P196" s="172"/>
      <c r="Q196" s="165"/>
      <c r="R196" s="166"/>
      <c r="S196" s="170"/>
    </row>
    <row r="197" spans="1:19" ht="13.5" customHeight="1" thickBot="1" x14ac:dyDescent="0.3">
      <c r="A197" s="7"/>
      <c r="B197" s="173" t="s">
        <v>217</v>
      </c>
      <c r="C197" s="174"/>
      <c r="D197" s="174"/>
      <c r="E197" s="174"/>
      <c r="F197" s="174"/>
      <c r="G197" s="167"/>
      <c r="H197" s="168"/>
      <c r="I197" s="8" t="s">
        <v>218</v>
      </c>
      <c r="J197" s="42"/>
      <c r="K197" s="7"/>
      <c r="L197" s="173" t="s">
        <v>217</v>
      </c>
      <c r="M197" s="174"/>
      <c r="N197" s="174"/>
      <c r="O197" s="174"/>
      <c r="P197" s="174"/>
      <c r="Q197" s="167"/>
      <c r="R197" s="168"/>
      <c r="S197" s="8" t="s">
        <v>218</v>
      </c>
    </row>
    <row r="198" spans="1:19" ht="20.25" customHeight="1" thickBot="1" x14ac:dyDescent="0.3">
      <c r="A198" s="7"/>
      <c r="B198" s="141" t="s">
        <v>219</v>
      </c>
      <c r="C198" s="142"/>
      <c r="D198" s="142"/>
      <c r="E198" s="142"/>
      <c r="F198" s="142"/>
      <c r="G198" s="143">
        <f>2400*2*12</f>
        <v>57600</v>
      </c>
      <c r="H198" s="144"/>
      <c r="I198" s="8" t="s">
        <v>220</v>
      </c>
      <c r="J198" s="43"/>
      <c r="K198" s="7"/>
      <c r="L198" s="141" t="s">
        <v>219</v>
      </c>
      <c r="M198" s="142"/>
      <c r="N198" s="142"/>
      <c r="O198" s="142"/>
      <c r="P198" s="142"/>
      <c r="Q198" s="143">
        <f>1748.85*4*12</f>
        <v>83944.799999999988</v>
      </c>
      <c r="R198" s="144"/>
      <c r="S198" s="8" t="s">
        <v>220</v>
      </c>
    </row>
    <row r="199" spans="1:19" ht="20.25" customHeight="1" thickBot="1" x14ac:dyDescent="0.3">
      <c r="A199" s="7"/>
      <c r="B199" s="141" t="s">
        <v>221</v>
      </c>
      <c r="C199" s="142"/>
      <c r="D199" s="142"/>
      <c r="E199" s="142"/>
      <c r="F199" s="142"/>
      <c r="G199" s="143">
        <f>0.474*12*F189</f>
        <v>23703.033599999999</v>
      </c>
      <c r="H199" s="144"/>
      <c r="I199" s="8" t="s">
        <v>222</v>
      </c>
      <c r="J199" s="55"/>
      <c r="K199" s="7"/>
      <c r="L199" s="141" t="s">
        <v>221</v>
      </c>
      <c r="M199" s="142"/>
      <c r="N199" s="142"/>
      <c r="O199" s="142"/>
      <c r="P199" s="142"/>
      <c r="Q199" s="143">
        <f>0.33*12*P189</f>
        <v>30355.38</v>
      </c>
      <c r="R199" s="144"/>
      <c r="S199" s="8" t="s">
        <v>222</v>
      </c>
    </row>
    <row r="200" spans="1:19" ht="13.5" customHeight="1" x14ac:dyDescent="0.25">
      <c r="A200" s="9"/>
      <c r="B200" s="145" t="s">
        <v>223</v>
      </c>
      <c r="C200" s="146"/>
      <c r="D200" s="146"/>
      <c r="E200" s="146"/>
      <c r="F200" s="146"/>
      <c r="G200" s="86">
        <f>1.69*12*F189</f>
        <v>84510.816000000006</v>
      </c>
      <c r="H200" s="147"/>
      <c r="I200" s="152" t="s">
        <v>224</v>
      </c>
      <c r="J200" s="56"/>
      <c r="K200" s="9"/>
      <c r="L200" s="145" t="s">
        <v>223</v>
      </c>
      <c r="M200" s="146"/>
      <c r="N200" s="146"/>
      <c r="O200" s="146"/>
      <c r="P200" s="146"/>
      <c r="Q200" s="86">
        <f>1.99*12*P189</f>
        <v>183052.13999999998</v>
      </c>
      <c r="R200" s="147"/>
      <c r="S200" s="152" t="s">
        <v>224</v>
      </c>
    </row>
    <row r="201" spans="1:19" ht="13.5" customHeight="1" x14ac:dyDescent="0.25">
      <c r="A201" s="10"/>
      <c r="B201" s="155" t="s">
        <v>226</v>
      </c>
      <c r="C201" s="156"/>
      <c r="D201" s="156"/>
      <c r="E201" s="156"/>
      <c r="F201" s="156"/>
      <c r="G201" s="148"/>
      <c r="H201" s="149"/>
      <c r="I201" s="153"/>
      <c r="J201" s="56"/>
      <c r="K201" s="10"/>
      <c r="L201" s="155" t="s">
        <v>226</v>
      </c>
      <c r="M201" s="156"/>
      <c r="N201" s="156"/>
      <c r="O201" s="156"/>
      <c r="P201" s="156"/>
      <c r="Q201" s="148"/>
      <c r="R201" s="149"/>
      <c r="S201" s="153"/>
    </row>
    <row r="202" spans="1:19" ht="13.5" customHeight="1" thickBot="1" x14ac:dyDescent="0.3">
      <c r="A202" s="10"/>
      <c r="B202" s="157" t="s">
        <v>227</v>
      </c>
      <c r="C202" s="158"/>
      <c r="D202" s="158"/>
      <c r="E202" s="158"/>
      <c r="F202" s="158"/>
      <c r="G202" s="148"/>
      <c r="H202" s="149"/>
      <c r="I202" s="154"/>
      <c r="J202" s="56"/>
      <c r="K202" s="10"/>
      <c r="L202" s="157" t="s">
        <v>227</v>
      </c>
      <c r="M202" s="158"/>
      <c r="N202" s="158"/>
      <c r="O202" s="158"/>
      <c r="P202" s="158"/>
      <c r="Q202" s="148"/>
      <c r="R202" s="149"/>
      <c r="S202" s="154"/>
    </row>
    <row r="203" spans="1:19" ht="13.5" customHeight="1" thickBot="1" x14ac:dyDescent="0.3">
      <c r="A203" s="10"/>
      <c r="B203" s="159" t="s">
        <v>228</v>
      </c>
      <c r="C203" s="160"/>
      <c r="D203" s="160"/>
      <c r="E203" s="160"/>
      <c r="F203" s="160"/>
      <c r="G203" s="150"/>
      <c r="H203" s="151"/>
      <c r="I203" s="11" t="s">
        <v>229</v>
      </c>
      <c r="J203" s="57"/>
      <c r="K203" s="10"/>
      <c r="L203" s="159" t="s">
        <v>228</v>
      </c>
      <c r="M203" s="160"/>
      <c r="N203" s="160"/>
      <c r="O203" s="160"/>
      <c r="P203" s="160"/>
      <c r="Q203" s="150"/>
      <c r="R203" s="151"/>
      <c r="S203" s="11" t="s">
        <v>229</v>
      </c>
    </row>
    <row r="204" spans="1:19" ht="13.5" customHeight="1" x14ac:dyDescent="0.25">
      <c r="A204" s="12"/>
      <c r="B204" s="125" t="s">
        <v>230</v>
      </c>
      <c r="C204" s="126"/>
      <c r="D204" s="126"/>
      <c r="E204" s="126"/>
      <c r="F204" s="126"/>
      <c r="G204" s="86">
        <f>0.048*12*F189</f>
        <v>2400.3072000000002</v>
      </c>
      <c r="H204" s="87"/>
      <c r="I204" s="129" t="s">
        <v>220</v>
      </c>
      <c r="J204" s="43"/>
      <c r="K204" s="12"/>
      <c r="L204" s="125" t="s">
        <v>230</v>
      </c>
      <c r="M204" s="126"/>
      <c r="N204" s="126"/>
      <c r="O204" s="126"/>
      <c r="P204" s="126"/>
      <c r="Q204" s="86">
        <f>0.048*12*P189</f>
        <v>4415.3280000000004</v>
      </c>
      <c r="R204" s="87"/>
      <c r="S204" s="129" t="s">
        <v>220</v>
      </c>
    </row>
    <row r="205" spans="1:19" ht="13.5" customHeight="1" thickBot="1" x14ac:dyDescent="0.3">
      <c r="A205" s="7"/>
      <c r="B205" s="131" t="s">
        <v>231</v>
      </c>
      <c r="C205" s="132"/>
      <c r="D205" s="132"/>
      <c r="E205" s="132"/>
      <c r="F205" s="132"/>
      <c r="G205" s="127"/>
      <c r="H205" s="128"/>
      <c r="I205" s="130"/>
      <c r="J205" s="43"/>
      <c r="K205" s="7"/>
      <c r="L205" s="131" t="s">
        <v>231</v>
      </c>
      <c r="M205" s="132"/>
      <c r="N205" s="132"/>
      <c r="O205" s="132"/>
      <c r="P205" s="132"/>
      <c r="Q205" s="127"/>
      <c r="R205" s="128"/>
      <c r="S205" s="130"/>
    </row>
    <row r="206" spans="1:19" ht="15.75" customHeight="1" thickBot="1" x14ac:dyDescent="0.3">
      <c r="A206" s="13"/>
      <c r="B206" s="133" t="s">
        <v>232</v>
      </c>
      <c r="C206" s="134"/>
      <c r="D206" s="134"/>
      <c r="E206" s="134"/>
      <c r="F206" s="134"/>
      <c r="G206" s="135"/>
      <c r="H206" s="136"/>
      <c r="I206" s="14"/>
      <c r="J206" s="43"/>
      <c r="K206" s="13"/>
      <c r="L206" s="133" t="s">
        <v>232</v>
      </c>
      <c r="M206" s="134"/>
      <c r="N206" s="134"/>
      <c r="O206" s="134"/>
      <c r="P206" s="134"/>
      <c r="Q206" s="135"/>
      <c r="R206" s="136"/>
      <c r="S206" s="14"/>
    </row>
    <row r="207" spans="1:19" ht="15.75" customHeight="1" thickBot="1" x14ac:dyDescent="0.3">
      <c r="A207" s="13"/>
      <c r="B207" s="84" t="s">
        <v>233</v>
      </c>
      <c r="C207" s="85"/>
      <c r="D207" s="85"/>
      <c r="E207" s="85"/>
      <c r="F207" s="85"/>
      <c r="G207" s="86">
        <f>1.49*12*F189</f>
        <v>74509.535999999993</v>
      </c>
      <c r="H207" s="87"/>
      <c r="I207" s="92" t="s">
        <v>530</v>
      </c>
      <c r="J207" s="58"/>
      <c r="K207" s="13"/>
      <c r="L207" s="84" t="s">
        <v>233</v>
      </c>
      <c r="M207" s="85"/>
      <c r="N207" s="85"/>
      <c r="O207" s="85"/>
      <c r="P207" s="85"/>
      <c r="Q207" s="86">
        <f>1.32*12*P189</f>
        <v>121421.52</v>
      </c>
      <c r="R207" s="87"/>
      <c r="S207" s="92" t="s">
        <v>536</v>
      </c>
    </row>
    <row r="208" spans="1:19" ht="35.25" customHeight="1" x14ac:dyDescent="0.25">
      <c r="A208" s="118"/>
      <c r="B208" s="121" t="s">
        <v>226</v>
      </c>
      <c r="C208" s="122"/>
      <c r="D208" s="122"/>
      <c r="E208" s="122"/>
      <c r="F208" s="122"/>
      <c r="G208" s="88"/>
      <c r="H208" s="89"/>
      <c r="I208" s="93"/>
      <c r="J208" s="41"/>
      <c r="K208" s="118"/>
      <c r="L208" s="121" t="s">
        <v>226</v>
      </c>
      <c r="M208" s="122"/>
      <c r="N208" s="122"/>
      <c r="O208" s="122"/>
      <c r="P208" s="122"/>
      <c r="Q208" s="88"/>
      <c r="R208" s="89"/>
      <c r="S208" s="93"/>
    </row>
    <row r="209" spans="1:19" ht="31.5" customHeight="1" x14ac:dyDescent="0.25">
      <c r="A209" s="119"/>
      <c r="B209" s="121" t="s">
        <v>227</v>
      </c>
      <c r="C209" s="122"/>
      <c r="D209" s="122"/>
      <c r="E209" s="122"/>
      <c r="F209" s="122"/>
      <c r="G209" s="88"/>
      <c r="H209" s="89"/>
      <c r="I209" s="93"/>
      <c r="J209" s="41"/>
      <c r="K209" s="119"/>
      <c r="L209" s="121" t="s">
        <v>227</v>
      </c>
      <c r="M209" s="122"/>
      <c r="N209" s="122"/>
      <c r="O209" s="122"/>
      <c r="P209" s="122"/>
      <c r="Q209" s="88"/>
      <c r="R209" s="89"/>
      <c r="S209" s="93"/>
    </row>
    <row r="210" spans="1:19" ht="34.5" customHeight="1" x14ac:dyDescent="0.25">
      <c r="A210" s="119"/>
      <c r="B210" s="121" t="s">
        <v>228</v>
      </c>
      <c r="C210" s="122"/>
      <c r="D210" s="122"/>
      <c r="E210" s="122"/>
      <c r="F210" s="122"/>
      <c r="G210" s="88"/>
      <c r="H210" s="89"/>
      <c r="I210" s="93"/>
      <c r="J210" s="41"/>
      <c r="K210" s="119"/>
      <c r="L210" s="121" t="s">
        <v>228</v>
      </c>
      <c r="M210" s="122"/>
      <c r="N210" s="122"/>
      <c r="O210" s="122"/>
      <c r="P210" s="122"/>
      <c r="Q210" s="88"/>
      <c r="R210" s="89"/>
      <c r="S210" s="93"/>
    </row>
    <row r="211" spans="1:19" ht="114.75" customHeight="1" thickBot="1" x14ac:dyDescent="0.3">
      <c r="A211" s="120"/>
      <c r="B211" s="123" t="s">
        <v>234</v>
      </c>
      <c r="C211" s="124"/>
      <c r="D211" s="124"/>
      <c r="E211" s="124"/>
      <c r="F211" s="124"/>
      <c r="G211" s="90"/>
      <c r="H211" s="91"/>
      <c r="I211" s="94"/>
      <c r="J211" s="41"/>
      <c r="K211" s="120"/>
      <c r="L211" s="123" t="s">
        <v>234</v>
      </c>
      <c r="M211" s="124"/>
      <c r="N211" s="124"/>
      <c r="O211" s="124"/>
      <c r="P211" s="124"/>
      <c r="Q211" s="90"/>
      <c r="R211" s="91"/>
      <c r="S211" s="94"/>
    </row>
    <row r="212" spans="1:19" ht="0.75" customHeight="1" thickBot="1" x14ac:dyDescent="0.3">
      <c r="A212" s="15"/>
      <c r="B212" s="137"/>
      <c r="C212" s="138"/>
      <c r="D212" s="138"/>
      <c r="E212" s="138"/>
      <c r="F212" s="138"/>
      <c r="G212" s="139"/>
      <c r="H212" s="140"/>
      <c r="I212" s="16"/>
      <c r="J212" s="42"/>
      <c r="K212" s="15"/>
      <c r="L212" s="137"/>
      <c r="M212" s="138"/>
      <c r="N212" s="138"/>
      <c r="O212" s="138"/>
      <c r="P212" s="138"/>
      <c r="Q212" s="139"/>
      <c r="R212" s="140"/>
      <c r="S212" s="16"/>
    </row>
    <row r="213" spans="1:19" ht="29.25" customHeight="1" thickBot="1" x14ac:dyDescent="0.3">
      <c r="A213" s="15"/>
      <c r="B213" s="137" t="s">
        <v>235</v>
      </c>
      <c r="C213" s="138"/>
      <c r="D213" s="138"/>
      <c r="E213" s="138"/>
      <c r="F213" s="138"/>
      <c r="G213" s="139"/>
      <c r="H213" s="140"/>
      <c r="I213" s="16"/>
      <c r="J213" s="43"/>
      <c r="K213" s="15"/>
      <c r="L213" s="137" t="s">
        <v>235</v>
      </c>
      <c r="M213" s="138"/>
      <c r="N213" s="138"/>
      <c r="O213" s="138"/>
      <c r="P213" s="138"/>
      <c r="Q213" s="139"/>
      <c r="R213" s="140"/>
      <c r="S213" s="16"/>
    </row>
    <row r="214" spans="1:19" ht="30" customHeight="1" thickBot="1" x14ac:dyDescent="0.3">
      <c r="A214" s="17"/>
      <c r="B214" s="78" t="s">
        <v>237</v>
      </c>
      <c r="C214" s="79"/>
      <c r="D214" s="79"/>
      <c r="E214" s="79"/>
      <c r="F214" s="79"/>
      <c r="G214" s="86">
        <f>20585+23309</f>
        <v>43894</v>
      </c>
      <c r="H214" s="87"/>
      <c r="I214" s="108" t="s">
        <v>229</v>
      </c>
      <c r="J214" s="59"/>
      <c r="K214" s="17"/>
      <c r="L214" s="78" t="s">
        <v>237</v>
      </c>
      <c r="M214" s="79"/>
      <c r="N214" s="79"/>
      <c r="O214" s="79"/>
      <c r="P214" s="79"/>
      <c r="Q214" s="86">
        <f>17938+12740</f>
        <v>30678</v>
      </c>
      <c r="R214" s="87"/>
      <c r="S214" s="108" t="s">
        <v>229</v>
      </c>
    </row>
    <row r="215" spans="1:19" ht="15.75" customHeight="1" thickBot="1" x14ac:dyDescent="0.3">
      <c r="A215" s="18"/>
      <c r="B215" s="110" t="s">
        <v>238</v>
      </c>
      <c r="C215" s="111"/>
      <c r="D215" s="111"/>
      <c r="E215" s="111"/>
      <c r="F215" s="111"/>
      <c r="G215" s="90"/>
      <c r="H215" s="91"/>
      <c r="I215" s="109"/>
      <c r="J215" s="59"/>
      <c r="K215" s="18"/>
      <c r="L215" s="110" t="s">
        <v>238</v>
      </c>
      <c r="M215" s="111"/>
      <c r="N215" s="111"/>
      <c r="O215" s="111"/>
      <c r="P215" s="111"/>
      <c r="Q215" s="90"/>
      <c r="R215" s="91"/>
      <c r="S215" s="109"/>
    </row>
    <row r="216" spans="1:19" ht="13.5" customHeight="1" thickBot="1" x14ac:dyDescent="0.3">
      <c r="A216" s="19"/>
      <c r="B216" s="112" t="s">
        <v>239</v>
      </c>
      <c r="C216" s="113"/>
      <c r="D216" s="113"/>
      <c r="E216" s="113"/>
      <c r="F216" s="113"/>
      <c r="G216" s="114">
        <f>SUM(G195:H215)</f>
        <v>357626.78080000001</v>
      </c>
      <c r="H216" s="115"/>
      <c r="I216" s="20"/>
      <c r="J216" s="58"/>
      <c r="K216" s="19"/>
      <c r="L216" s="112" t="s">
        <v>239</v>
      </c>
      <c r="M216" s="113"/>
      <c r="N216" s="113"/>
      <c r="O216" s="113"/>
      <c r="P216" s="113"/>
      <c r="Q216" s="114">
        <f>SUM(Q195:R215)</f>
        <v>583567.42799999996</v>
      </c>
      <c r="R216" s="115"/>
      <c r="S216" s="20"/>
    </row>
    <row r="217" spans="1:19" ht="25.5" customHeight="1" thickBot="1" x14ac:dyDescent="0.3">
      <c r="A217" s="21"/>
      <c r="B217" s="101" t="s">
        <v>240</v>
      </c>
      <c r="C217" s="102"/>
      <c r="D217" s="102"/>
      <c r="E217" s="102"/>
      <c r="F217" s="102"/>
      <c r="G217" s="116">
        <f>G216*1.2</f>
        <v>429152.13695999997</v>
      </c>
      <c r="H217" s="117"/>
      <c r="I217" s="22"/>
      <c r="J217" s="45"/>
      <c r="K217" s="21"/>
      <c r="L217" s="101" t="s">
        <v>240</v>
      </c>
      <c r="M217" s="102"/>
      <c r="N217" s="102"/>
      <c r="O217" s="102"/>
      <c r="P217" s="102"/>
      <c r="Q217" s="116">
        <f>Q216*1.2</f>
        <v>700280.91359999997</v>
      </c>
      <c r="R217" s="117"/>
      <c r="S217" s="22"/>
    </row>
    <row r="218" spans="1:19" ht="25.5" customHeight="1" thickBot="1" x14ac:dyDescent="0.3">
      <c r="A218" s="24"/>
      <c r="B218" s="96" t="s">
        <v>443</v>
      </c>
      <c r="C218" s="97"/>
      <c r="D218" s="97"/>
      <c r="E218" s="97"/>
      <c r="F218" s="97"/>
      <c r="G218" s="311">
        <v>424022.68</v>
      </c>
      <c r="H218" s="312"/>
      <c r="I218" s="313"/>
      <c r="J218" s="41"/>
      <c r="K218" s="24"/>
      <c r="L218" s="96" t="s">
        <v>443</v>
      </c>
      <c r="M218" s="97"/>
      <c r="N218" s="97"/>
      <c r="O218" s="97"/>
      <c r="P218" s="97"/>
      <c r="Q218" s="311">
        <v>711220.4</v>
      </c>
      <c r="R218" s="312"/>
      <c r="S218" s="313"/>
    </row>
    <row r="219" spans="1:19" ht="25.5" customHeight="1" thickBot="1" x14ac:dyDescent="0.3">
      <c r="A219" s="19"/>
      <c r="B219" s="101" t="s">
        <v>242</v>
      </c>
      <c r="C219" s="102"/>
      <c r="D219" s="102"/>
      <c r="E219" s="102"/>
      <c r="F219" s="102"/>
      <c r="G219" s="307">
        <v>412269.59</v>
      </c>
      <c r="H219" s="308"/>
      <c r="I219" s="309"/>
      <c r="J219" s="41"/>
      <c r="K219" s="19"/>
      <c r="L219" s="101" t="s">
        <v>242</v>
      </c>
      <c r="M219" s="102"/>
      <c r="N219" s="102"/>
      <c r="O219" s="102"/>
      <c r="P219" s="102"/>
      <c r="Q219" s="307">
        <v>754582.56</v>
      </c>
      <c r="R219" s="308"/>
      <c r="S219" s="309"/>
    </row>
    <row r="220" spans="1:19" ht="25.5" customHeight="1" thickBot="1" x14ac:dyDescent="0.3">
      <c r="A220" s="19"/>
      <c r="B220" s="106" t="s">
        <v>444</v>
      </c>
      <c r="C220" s="107"/>
      <c r="D220" s="107"/>
      <c r="E220" s="107"/>
      <c r="F220" s="107"/>
      <c r="G220" s="307">
        <v>63284.91</v>
      </c>
      <c r="H220" s="308"/>
      <c r="I220" s="309"/>
      <c r="J220" s="64"/>
      <c r="K220" s="19"/>
      <c r="L220" s="106" t="s">
        <v>444</v>
      </c>
      <c r="M220" s="107"/>
      <c r="N220" s="107"/>
      <c r="O220" s="107"/>
      <c r="P220" s="107"/>
      <c r="Q220" s="307">
        <v>176003.78</v>
      </c>
      <c r="R220" s="308"/>
      <c r="S220" s="309"/>
    </row>
    <row r="221" spans="1:19" ht="27" customHeight="1" x14ac:dyDescent="0.25">
      <c r="A221" s="30"/>
      <c r="B221" s="323"/>
      <c r="C221" s="328"/>
      <c r="D221" s="328"/>
      <c r="E221" s="328"/>
      <c r="F221" s="328"/>
      <c r="G221" s="328"/>
      <c r="H221" s="328"/>
      <c r="I221" s="328"/>
      <c r="K221" s="30"/>
      <c r="M221" s="30"/>
    </row>
    <row r="222" spans="1:19" ht="15.75" x14ac:dyDescent="0.25">
      <c r="A222" s="30"/>
      <c r="C222" s="30"/>
    </row>
    <row r="223" spans="1:19" ht="15.75" x14ac:dyDescent="0.25">
      <c r="C223" s="30"/>
    </row>
    <row r="225" spans="1:19" x14ac:dyDescent="0.25">
      <c r="A225" s="3"/>
      <c r="B225" s="3"/>
      <c r="C225" s="3"/>
      <c r="D225" s="3"/>
      <c r="E225" s="4" t="s">
        <v>204</v>
      </c>
      <c r="F225" s="3"/>
      <c r="G225" s="3"/>
      <c r="H225" s="3"/>
      <c r="I225" s="3"/>
      <c r="K225" s="3"/>
      <c r="L225" s="3"/>
      <c r="M225" s="3"/>
      <c r="N225" s="3"/>
      <c r="O225" s="4" t="s">
        <v>204</v>
      </c>
      <c r="P225" s="3"/>
      <c r="Q225" s="3"/>
      <c r="R225" s="3"/>
      <c r="S225" s="3"/>
    </row>
    <row r="226" spans="1:19" x14ac:dyDescent="0.25">
      <c r="A226" s="3" t="s">
        <v>205</v>
      </c>
      <c r="B226" s="3"/>
      <c r="C226" s="3"/>
      <c r="D226" s="3" t="s">
        <v>318</v>
      </c>
      <c r="E226" s="3"/>
      <c r="F226" s="3"/>
      <c r="G226" s="3"/>
      <c r="H226" s="3"/>
      <c r="I226" s="3"/>
      <c r="K226" s="3" t="s">
        <v>205</v>
      </c>
      <c r="L226" s="3"/>
      <c r="M226" s="3"/>
      <c r="N226" s="3" t="s">
        <v>319</v>
      </c>
      <c r="O226" s="3"/>
      <c r="P226" s="3"/>
      <c r="Q226" s="3"/>
      <c r="R226" s="3"/>
      <c r="S226" s="3"/>
    </row>
    <row r="227" spans="1:19" x14ac:dyDescent="0.25">
      <c r="A227" s="3"/>
      <c r="B227" s="5" t="s">
        <v>440</v>
      </c>
      <c r="C227" s="3"/>
      <c r="D227" s="3"/>
      <c r="E227" s="3"/>
      <c r="F227" s="3"/>
      <c r="G227" s="3"/>
      <c r="H227" s="3"/>
      <c r="I227" s="3"/>
      <c r="K227" s="3"/>
      <c r="L227" s="5" t="s">
        <v>440</v>
      </c>
      <c r="M227" s="3"/>
      <c r="N227" s="3"/>
      <c r="O227" s="3"/>
      <c r="P227" s="3"/>
      <c r="Q227" s="3"/>
      <c r="R227" s="3"/>
      <c r="S227" s="3"/>
    </row>
    <row r="228" spans="1:19" x14ac:dyDescent="0.25">
      <c r="A228" s="3"/>
      <c r="B228" s="5" t="s">
        <v>206</v>
      </c>
      <c r="C228" s="3"/>
      <c r="D228" s="3"/>
      <c r="E228" s="3"/>
      <c r="F228" s="3">
        <v>4046.5</v>
      </c>
      <c r="G228" s="3" t="s">
        <v>207</v>
      </c>
      <c r="H228" s="3"/>
      <c r="I228" s="3"/>
      <c r="K228" s="3"/>
      <c r="L228" s="5" t="s">
        <v>206</v>
      </c>
      <c r="M228" s="3"/>
      <c r="N228" s="3"/>
      <c r="O228" s="3"/>
      <c r="P228" s="3">
        <v>18421.5</v>
      </c>
      <c r="Q228" s="3" t="s">
        <v>207</v>
      </c>
      <c r="R228" s="3"/>
      <c r="S228" s="3"/>
    </row>
    <row r="229" spans="1:19" ht="15.75" thickBot="1" x14ac:dyDescent="0.3">
      <c r="A229" s="3"/>
      <c r="B229" s="3"/>
      <c r="C229" s="3"/>
      <c r="D229" s="4"/>
      <c r="E229" s="4"/>
      <c r="F229" s="3"/>
      <c r="G229" s="3"/>
      <c r="H229" s="65"/>
      <c r="I229" s="3"/>
      <c r="K229" s="3"/>
      <c r="L229" s="3"/>
      <c r="M229" s="3"/>
      <c r="N229" s="4"/>
      <c r="O229" s="4"/>
      <c r="P229" s="3"/>
      <c r="Q229" s="3"/>
      <c r="R229" s="3"/>
      <c r="S229" s="3"/>
    </row>
    <row r="230" spans="1:19" ht="15" customHeight="1" x14ac:dyDescent="0.25">
      <c r="A230" s="175" t="s">
        <v>209</v>
      </c>
      <c r="B230" s="177" t="s">
        <v>210</v>
      </c>
      <c r="C230" s="178"/>
      <c r="D230" s="178"/>
      <c r="E230" s="178"/>
      <c r="F230" s="178"/>
      <c r="G230" s="180" t="s">
        <v>441</v>
      </c>
      <c r="H230" s="181"/>
      <c r="I230" s="175" t="s">
        <v>212</v>
      </c>
      <c r="K230" s="175" t="s">
        <v>209</v>
      </c>
      <c r="L230" s="177" t="s">
        <v>210</v>
      </c>
      <c r="M230" s="178"/>
      <c r="N230" s="178"/>
      <c r="O230" s="178"/>
      <c r="P230" s="178"/>
      <c r="Q230" s="180" t="s">
        <v>441</v>
      </c>
      <c r="R230" s="181"/>
      <c r="S230" s="175" t="s">
        <v>212</v>
      </c>
    </row>
    <row r="231" spans="1:19" ht="54" customHeight="1" thickBot="1" x14ac:dyDescent="0.3">
      <c r="A231" s="176"/>
      <c r="B231" s="179"/>
      <c r="C231" s="179"/>
      <c r="D231" s="179"/>
      <c r="E231" s="179"/>
      <c r="F231" s="179"/>
      <c r="G231" s="182"/>
      <c r="H231" s="183"/>
      <c r="I231" s="184"/>
      <c r="K231" s="176"/>
      <c r="L231" s="179"/>
      <c r="M231" s="179"/>
      <c r="N231" s="179"/>
      <c r="O231" s="179"/>
      <c r="P231" s="179"/>
      <c r="Q231" s="182"/>
      <c r="R231" s="183"/>
      <c r="S231" s="184"/>
    </row>
    <row r="232" spans="1:19" ht="15" customHeight="1" x14ac:dyDescent="0.25">
      <c r="A232" s="185" t="s">
        <v>213</v>
      </c>
      <c r="B232" s="187" t="s">
        <v>354</v>
      </c>
      <c r="C232" s="188"/>
      <c r="D232" s="188"/>
      <c r="E232" s="188"/>
      <c r="F232" s="188"/>
      <c r="G232" s="190">
        <v>67584.66</v>
      </c>
      <c r="H232" s="191"/>
      <c r="I232" s="192"/>
      <c r="K232" s="185" t="s">
        <v>213</v>
      </c>
      <c r="L232" s="187" t="s">
        <v>354</v>
      </c>
      <c r="M232" s="188"/>
      <c r="N232" s="188"/>
      <c r="O232" s="188"/>
      <c r="P232" s="188"/>
      <c r="Q232" s="190">
        <v>321704.99</v>
      </c>
      <c r="R232" s="191"/>
      <c r="S232" s="192"/>
    </row>
    <row r="233" spans="1:19" ht="15.75" thickBot="1" x14ac:dyDescent="0.3">
      <c r="A233" s="186"/>
      <c r="B233" s="189"/>
      <c r="C233" s="189"/>
      <c r="D233" s="189"/>
      <c r="E233" s="189"/>
      <c r="F233" s="189"/>
      <c r="G233" s="193"/>
      <c r="H233" s="194"/>
      <c r="I233" s="128"/>
      <c r="K233" s="186"/>
      <c r="L233" s="189"/>
      <c r="M233" s="189"/>
      <c r="N233" s="189"/>
      <c r="O233" s="189"/>
      <c r="P233" s="189"/>
      <c r="Q233" s="193"/>
      <c r="R233" s="194"/>
      <c r="S233" s="128"/>
    </row>
    <row r="234" spans="1:19" x14ac:dyDescent="0.25">
      <c r="A234" s="6"/>
      <c r="B234" s="161" t="s">
        <v>214</v>
      </c>
      <c r="C234" s="162"/>
      <c r="D234" s="162"/>
      <c r="E234" s="162"/>
      <c r="F234" s="162"/>
      <c r="G234" s="163">
        <f>1.2*12*F228</f>
        <v>58269.599999999991</v>
      </c>
      <c r="H234" s="164"/>
      <c r="I234" s="169" t="s">
        <v>215</v>
      </c>
      <c r="K234" s="6"/>
      <c r="L234" s="161" t="s">
        <v>214</v>
      </c>
      <c r="M234" s="162"/>
      <c r="N234" s="162"/>
      <c r="O234" s="162"/>
      <c r="P234" s="162"/>
      <c r="Q234" s="163">
        <f>1.96*12*P228</f>
        <v>433273.68</v>
      </c>
      <c r="R234" s="164"/>
      <c r="S234" s="169" t="s">
        <v>215</v>
      </c>
    </row>
    <row r="235" spans="1:19" ht="32.25" customHeight="1" thickBot="1" x14ac:dyDescent="0.3">
      <c r="A235" s="7"/>
      <c r="B235" s="171" t="s">
        <v>216</v>
      </c>
      <c r="C235" s="172"/>
      <c r="D235" s="172"/>
      <c r="E235" s="172"/>
      <c r="F235" s="172"/>
      <c r="G235" s="165"/>
      <c r="H235" s="166"/>
      <c r="I235" s="170"/>
      <c r="K235" s="7"/>
      <c r="L235" s="171" t="s">
        <v>216</v>
      </c>
      <c r="M235" s="172"/>
      <c r="N235" s="172"/>
      <c r="O235" s="172"/>
      <c r="P235" s="172"/>
      <c r="Q235" s="165"/>
      <c r="R235" s="166"/>
      <c r="S235" s="170"/>
    </row>
    <row r="236" spans="1:19" ht="15.75" thickBot="1" x14ac:dyDescent="0.3">
      <c r="A236" s="7"/>
      <c r="B236" s="173" t="s">
        <v>217</v>
      </c>
      <c r="C236" s="174"/>
      <c r="D236" s="174"/>
      <c r="E236" s="174"/>
      <c r="F236" s="174"/>
      <c r="G236" s="167"/>
      <c r="H236" s="168"/>
      <c r="I236" s="8" t="s">
        <v>218</v>
      </c>
      <c r="K236" s="7"/>
      <c r="L236" s="173" t="s">
        <v>217</v>
      </c>
      <c r="M236" s="174"/>
      <c r="N236" s="174"/>
      <c r="O236" s="174"/>
      <c r="P236" s="174"/>
      <c r="Q236" s="167"/>
      <c r="R236" s="168"/>
      <c r="S236" s="8" t="s">
        <v>218</v>
      </c>
    </row>
    <row r="237" spans="1:19" ht="15.75" thickBot="1" x14ac:dyDescent="0.3">
      <c r="A237" s="7"/>
      <c r="B237" s="141" t="s">
        <v>219</v>
      </c>
      <c r="C237" s="142"/>
      <c r="D237" s="142"/>
      <c r="E237" s="142"/>
      <c r="F237" s="142"/>
      <c r="G237" s="143">
        <f>1948.85*2*12</f>
        <v>46772.399999999994</v>
      </c>
      <c r="H237" s="144"/>
      <c r="I237" s="8" t="s">
        <v>220</v>
      </c>
      <c r="K237" s="7"/>
      <c r="L237" s="141" t="s">
        <v>219</v>
      </c>
      <c r="M237" s="142"/>
      <c r="N237" s="142"/>
      <c r="O237" s="142"/>
      <c r="P237" s="142"/>
      <c r="Q237" s="143">
        <f>1748.85*8*12</f>
        <v>167889.59999999998</v>
      </c>
      <c r="R237" s="144"/>
      <c r="S237" s="8" t="s">
        <v>220</v>
      </c>
    </row>
    <row r="238" spans="1:19" ht="15.75" thickBot="1" x14ac:dyDescent="0.3">
      <c r="A238" s="7"/>
      <c r="B238" s="141" t="s">
        <v>221</v>
      </c>
      <c r="C238" s="142"/>
      <c r="D238" s="142"/>
      <c r="E238" s="142"/>
      <c r="F238" s="142"/>
      <c r="G238" s="143">
        <f>0.474*12*F228</f>
        <v>23016.491999999998</v>
      </c>
      <c r="H238" s="144"/>
      <c r="I238" s="8" t="s">
        <v>222</v>
      </c>
      <c r="K238" s="7"/>
      <c r="L238" s="141" t="s">
        <v>221</v>
      </c>
      <c r="M238" s="142"/>
      <c r="N238" s="142"/>
      <c r="O238" s="142"/>
      <c r="P238" s="142"/>
      <c r="Q238" s="143">
        <f>0.474*12*P228</f>
        <v>104781.492</v>
      </c>
      <c r="R238" s="144"/>
      <c r="S238" s="8" t="s">
        <v>222</v>
      </c>
    </row>
    <row r="239" spans="1:19" x14ac:dyDescent="0.25">
      <c r="A239" s="9"/>
      <c r="B239" s="145" t="s">
        <v>223</v>
      </c>
      <c r="C239" s="146"/>
      <c r="D239" s="146"/>
      <c r="E239" s="146"/>
      <c r="F239" s="146"/>
      <c r="G239" s="86">
        <f>1.45*12*F228</f>
        <v>70409.099999999991</v>
      </c>
      <c r="H239" s="147"/>
      <c r="I239" s="152" t="s">
        <v>224</v>
      </c>
      <c r="K239" s="9"/>
      <c r="L239" s="145" t="s">
        <v>223</v>
      </c>
      <c r="M239" s="146"/>
      <c r="N239" s="146"/>
      <c r="O239" s="146"/>
      <c r="P239" s="146"/>
      <c r="Q239" s="86">
        <f>1.872*12*P228</f>
        <v>413820.57600000006</v>
      </c>
      <c r="R239" s="147"/>
      <c r="S239" s="152" t="s">
        <v>224</v>
      </c>
    </row>
    <row r="240" spans="1:19" x14ac:dyDescent="0.25">
      <c r="A240" s="10"/>
      <c r="B240" s="155" t="s">
        <v>226</v>
      </c>
      <c r="C240" s="156"/>
      <c r="D240" s="156"/>
      <c r="E240" s="156"/>
      <c r="F240" s="156"/>
      <c r="G240" s="148"/>
      <c r="H240" s="149"/>
      <c r="I240" s="153"/>
      <c r="K240" s="10"/>
      <c r="L240" s="155" t="s">
        <v>226</v>
      </c>
      <c r="M240" s="156"/>
      <c r="N240" s="156"/>
      <c r="O240" s="156"/>
      <c r="P240" s="156"/>
      <c r="Q240" s="148"/>
      <c r="R240" s="149"/>
      <c r="S240" s="153"/>
    </row>
    <row r="241" spans="1:19" ht="15.75" thickBot="1" x14ac:dyDescent="0.3">
      <c r="A241" s="10"/>
      <c r="B241" s="157" t="s">
        <v>227</v>
      </c>
      <c r="C241" s="158"/>
      <c r="D241" s="158"/>
      <c r="E241" s="158"/>
      <c r="F241" s="158"/>
      <c r="G241" s="148"/>
      <c r="H241" s="149"/>
      <c r="I241" s="154"/>
      <c r="K241" s="10"/>
      <c r="L241" s="157" t="s">
        <v>227</v>
      </c>
      <c r="M241" s="158"/>
      <c r="N241" s="158"/>
      <c r="O241" s="158"/>
      <c r="P241" s="158"/>
      <c r="Q241" s="148"/>
      <c r="R241" s="149"/>
      <c r="S241" s="154"/>
    </row>
    <row r="242" spans="1:19" ht="15.75" thickBot="1" x14ac:dyDescent="0.3">
      <c r="A242" s="10"/>
      <c r="B242" s="159" t="s">
        <v>228</v>
      </c>
      <c r="C242" s="160"/>
      <c r="D242" s="160"/>
      <c r="E242" s="160"/>
      <c r="F242" s="160"/>
      <c r="G242" s="150"/>
      <c r="H242" s="151"/>
      <c r="I242" s="11" t="s">
        <v>229</v>
      </c>
      <c r="K242" s="10"/>
      <c r="L242" s="159" t="s">
        <v>228</v>
      </c>
      <c r="M242" s="160"/>
      <c r="N242" s="160"/>
      <c r="O242" s="160"/>
      <c r="P242" s="160"/>
      <c r="Q242" s="150"/>
      <c r="R242" s="151"/>
      <c r="S242" s="11" t="s">
        <v>229</v>
      </c>
    </row>
    <row r="243" spans="1:19" x14ac:dyDescent="0.25">
      <c r="A243" s="12"/>
      <c r="B243" s="125" t="s">
        <v>230</v>
      </c>
      <c r="C243" s="126"/>
      <c r="D243" s="126"/>
      <c r="E243" s="126"/>
      <c r="F243" s="126"/>
      <c r="G243" s="86">
        <f>0.048*12*F228</f>
        <v>2330.7840000000001</v>
      </c>
      <c r="H243" s="87"/>
      <c r="I243" s="129" t="s">
        <v>220</v>
      </c>
      <c r="K243" s="12"/>
      <c r="L243" s="125" t="s">
        <v>230</v>
      </c>
      <c r="M243" s="126"/>
      <c r="N243" s="126"/>
      <c r="O243" s="126"/>
      <c r="P243" s="126"/>
      <c r="Q243" s="86">
        <f>0.048*12*P228</f>
        <v>10610.784000000001</v>
      </c>
      <c r="R243" s="87"/>
      <c r="S243" s="129" t="s">
        <v>220</v>
      </c>
    </row>
    <row r="244" spans="1:19" ht="15.75" thickBot="1" x14ac:dyDescent="0.3">
      <c r="A244" s="7"/>
      <c r="B244" s="131" t="s">
        <v>231</v>
      </c>
      <c r="C244" s="132"/>
      <c r="D244" s="132"/>
      <c r="E244" s="132"/>
      <c r="F244" s="132"/>
      <c r="G244" s="127"/>
      <c r="H244" s="128"/>
      <c r="I244" s="130"/>
      <c r="K244" s="7"/>
      <c r="L244" s="131" t="s">
        <v>231</v>
      </c>
      <c r="M244" s="132"/>
      <c r="N244" s="132"/>
      <c r="O244" s="132"/>
      <c r="P244" s="132"/>
      <c r="Q244" s="127"/>
      <c r="R244" s="128"/>
      <c r="S244" s="130"/>
    </row>
    <row r="245" spans="1:19" ht="15.75" thickBot="1" x14ac:dyDescent="0.3">
      <c r="A245" s="13"/>
      <c r="B245" s="133" t="s">
        <v>232</v>
      </c>
      <c r="C245" s="134"/>
      <c r="D245" s="134"/>
      <c r="E245" s="134"/>
      <c r="F245" s="134"/>
      <c r="G245" s="135"/>
      <c r="H245" s="136"/>
      <c r="I245" s="14"/>
      <c r="K245" s="13"/>
      <c r="L245" s="133" t="s">
        <v>232</v>
      </c>
      <c r="M245" s="134"/>
      <c r="N245" s="134"/>
      <c r="O245" s="134"/>
      <c r="P245" s="134"/>
      <c r="Q245" s="135"/>
      <c r="R245" s="136"/>
      <c r="S245" s="14"/>
    </row>
    <row r="246" spans="1:19" ht="15.75" thickBot="1" x14ac:dyDescent="0.3">
      <c r="A246" s="13"/>
      <c r="B246" s="84" t="s">
        <v>233</v>
      </c>
      <c r="C246" s="85"/>
      <c r="D246" s="85"/>
      <c r="E246" s="85"/>
      <c r="F246" s="85"/>
      <c r="G246" s="86">
        <f>1.75*12*F228</f>
        <v>84976.5</v>
      </c>
      <c r="H246" s="87"/>
      <c r="I246" s="317" t="s">
        <v>529</v>
      </c>
      <c r="K246" s="13"/>
      <c r="L246" s="84" t="s">
        <v>233</v>
      </c>
      <c r="M246" s="85"/>
      <c r="N246" s="85"/>
      <c r="O246" s="85"/>
      <c r="P246" s="85"/>
      <c r="Q246" s="86">
        <f>1.45*12*P228</f>
        <v>320534.09999999998</v>
      </c>
      <c r="R246" s="87"/>
      <c r="S246" s="317" t="s">
        <v>531</v>
      </c>
    </row>
    <row r="247" spans="1:19" ht="44.25" customHeight="1" x14ac:dyDescent="0.25">
      <c r="A247" s="118"/>
      <c r="B247" s="121" t="s">
        <v>226</v>
      </c>
      <c r="C247" s="122"/>
      <c r="D247" s="122"/>
      <c r="E247" s="122"/>
      <c r="F247" s="122"/>
      <c r="G247" s="88"/>
      <c r="H247" s="89"/>
      <c r="I247" s="318"/>
      <c r="K247" s="118"/>
      <c r="L247" s="121" t="s">
        <v>226</v>
      </c>
      <c r="M247" s="122"/>
      <c r="N247" s="122"/>
      <c r="O247" s="122"/>
      <c r="P247" s="122"/>
      <c r="Q247" s="88"/>
      <c r="R247" s="89"/>
      <c r="S247" s="318"/>
    </row>
    <row r="248" spans="1:19" ht="66.75" customHeight="1" x14ac:dyDescent="0.25">
      <c r="A248" s="119"/>
      <c r="B248" s="121" t="s">
        <v>227</v>
      </c>
      <c r="C248" s="122"/>
      <c r="D248" s="122"/>
      <c r="E248" s="122"/>
      <c r="F248" s="122"/>
      <c r="G248" s="88"/>
      <c r="H248" s="89"/>
      <c r="I248" s="318"/>
      <c r="K248" s="119"/>
      <c r="L248" s="121" t="s">
        <v>227</v>
      </c>
      <c r="M248" s="122"/>
      <c r="N248" s="122"/>
      <c r="O248" s="122"/>
      <c r="P248" s="122"/>
      <c r="Q248" s="88"/>
      <c r="R248" s="89"/>
      <c r="S248" s="318"/>
    </row>
    <row r="249" spans="1:19" ht="46.5" customHeight="1" x14ac:dyDescent="0.25">
      <c r="A249" s="119"/>
      <c r="B249" s="121" t="s">
        <v>228</v>
      </c>
      <c r="C249" s="122"/>
      <c r="D249" s="122"/>
      <c r="E249" s="122"/>
      <c r="F249" s="122"/>
      <c r="G249" s="88"/>
      <c r="H249" s="89"/>
      <c r="I249" s="318"/>
      <c r="K249" s="119"/>
      <c r="L249" s="121" t="s">
        <v>228</v>
      </c>
      <c r="M249" s="122"/>
      <c r="N249" s="122"/>
      <c r="O249" s="122"/>
      <c r="P249" s="122"/>
      <c r="Q249" s="88"/>
      <c r="R249" s="89"/>
      <c r="S249" s="318"/>
    </row>
    <row r="250" spans="1:19" ht="119.25" customHeight="1" thickBot="1" x14ac:dyDescent="0.3">
      <c r="A250" s="120"/>
      <c r="B250" s="123" t="s">
        <v>234</v>
      </c>
      <c r="C250" s="124"/>
      <c r="D250" s="124"/>
      <c r="E250" s="124"/>
      <c r="F250" s="124"/>
      <c r="G250" s="90"/>
      <c r="H250" s="91"/>
      <c r="I250" s="319"/>
      <c r="K250" s="120"/>
      <c r="L250" s="123" t="s">
        <v>234</v>
      </c>
      <c r="M250" s="124"/>
      <c r="N250" s="124"/>
      <c r="O250" s="124"/>
      <c r="P250" s="124"/>
      <c r="Q250" s="90"/>
      <c r="R250" s="91"/>
      <c r="S250" s="319"/>
    </row>
    <row r="251" spans="1:19" ht="3" customHeight="1" thickBot="1" x14ac:dyDescent="0.3">
      <c r="A251" s="15"/>
      <c r="B251" s="137"/>
      <c r="C251" s="138"/>
      <c r="D251" s="138"/>
      <c r="E251" s="138"/>
      <c r="F251" s="138"/>
      <c r="G251" s="139"/>
      <c r="H251" s="140"/>
      <c r="I251" s="16"/>
      <c r="K251" s="15"/>
      <c r="L251" s="137"/>
      <c r="M251" s="138"/>
      <c r="N251" s="138"/>
      <c r="O251" s="138"/>
      <c r="P251" s="138"/>
      <c r="Q251" s="139"/>
      <c r="R251" s="140"/>
      <c r="S251" s="16"/>
    </row>
    <row r="252" spans="1:19" ht="27.75" hidden="1" customHeight="1" x14ac:dyDescent="0.25">
      <c r="A252" s="15"/>
      <c r="B252" s="137" t="s">
        <v>235</v>
      </c>
      <c r="C252" s="138"/>
      <c r="D252" s="138"/>
      <c r="E252" s="138"/>
      <c r="F252" s="138"/>
      <c r="G252" s="139"/>
      <c r="H252" s="140"/>
      <c r="I252" s="16"/>
      <c r="K252" s="15"/>
      <c r="L252" s="137" t="s">
        <v>235</v>
      </c>
      <c r="M252" s="138"/>
      <c r="N252" s="138"/>
      <c r="O252" s="138"/>
      <c r="P252" s="138"/>
      <c r="Q252" s="139"/>
      <c r="R252" s="140"/>
      <c r="S252" s="16"/>
    </row>
    <row r="253" spans="1:19" ht="34.5" customHeight="1" thickBot="1" x14ac:dyDescent="0.3">
      <c r="A253" s="17"/>
      <c r="B253" s="78" t="s">
        <v>237</v>
      </c>
      <c r="C253" s="79"/>
      <c r="D253" s="79"/>
      <c r="E253" s="79"/>
      <c r="F253" s="79"/>
      <c r="G253" s="86">
        <f>2965+9297</f>
        <v>12262</v>
      </c>
      <c r="H253" s="87"/>
      <c r="I253" s="108" t="s">
        <v>229</v>
      </c>
      <c r="K253" s="17"/>
      <c r="L253" s="78" t="s">
        <v>237</v>
      </c>
      <c r="M253" s="79"/>
      <c r="N253" s="79"/>
      <c r="O253" s="79"/>
      <c r="P253" s="79"/>
      <c r="Q253" s="86">
        <f>46561+47999</f>
        <v>94560</v>
      </c>
      <c r="R253" s="87"/>
      <c r="S253" s="108" t="s">
        <v>229</v>
      </c>
    </row>
    <row r="254" spans="1:19" ht="15.75" thickBot="1" x14ac:dyDescent="0.3">
      <c r="A254" s="18"/>
      <c r="B254" s="110" t="s">
        <v>238</v>
      </c>
      <c r="C254" s="111"/>
      <c r="D254" s="111"/>
      <c r="E254" s="111"/>
      <c r="F254" s="111"/>
      <c r="G254" s="90"/>
      <c r="H254" s="91"/>
      <c r="I254" s="109"/>
      <c r="K254" s="18"/>
      <c r="L254" s="110" t="s">
        <v>238</v>
      </c>
      <c r="M254" s="111"/>
      <c r="N254" s="111"/>
      <c r="O254" s="111"/>
      <c r="P254" s="111"/>
      <c r="Q254" s="90"/>
      <c r="R254" s="91"/>
      <c r="S254" s="109"/>
    </row>
    <row r="255" spans="1:19" ht="15.75" thickBot="1" x14ac:dyDescent="0.3">
      <c r="A255" s="19"/>
      <c r="B255" s="112" t="s">
        <v>239</v>
      </c>
      <c r="C255" s="113"/>
      <c r="D255" s="113"/>
      <c r="E255" s="113"/>
      <c r="F255" s="113"/>
      <c r="G255" s="114">
        <f>SUM(G234:H254)</f>
        <v>298036.87599999999</v>
      </c>
      <c r="H255" s="115"/>
      <c r="I255" s="20"/>
      <c r="K255" s="19"/>
      <c r="L255" s="112" t="s">
        <v>239</v>
      </c>
      <c r="M255" s="113"/>
      <c r="N255" s="113"/>
      <c r="O255" s="113"/>
      <c r="P255" s="113"/>
      <c r="Q255" s="114">
        <f>SUM(Q234:R254)</f>
        <v>1545470.2319999998</v>
      </c>
      <c r="R255" s="115"/>
      <c r="S255" s="20"/>
    </row>
    <row r="256" spans="1:19" ht="21.75" customHeight="1" thickBot="1" x14ac:dyDescent="0.3">
      <c r="A256" s="21"/>
      <c r="B256" s="101" t="s">
        <v>240</v>
      </c>
      <c r="C256" s="102"/>
      <c r="D256" s="102"/>
      <c r="E256" s="102"/>
      <c r="F256" s="102"/>
      <c r="G256" s="116">
        <f>G255*1.2</f>
        <v>357644.2512</v>
      </c>
      <c r="H256" s="117"/>
      <c r="I256" s="22"/>
      <c r="K256" s="21"/>
      <c r="L256" s="101" t="s">
        <v>240</v>
      </c>
      <c r="M256" s="102"/>
      <c r="N256" s="102"/>
      <c r="O256" s="102"/>
      <c r="P256" s="102"/>
      <c r="Q256" s="116">
        <f>Q255*1.2</f>
        <v>1854564.2783999997</v>
      </c>
      <c r="R256" s="117"/>
      <c r="S256" s="22"/>
    </row>
    <row r="257" spans="1:19" ht="21.75" customHeight="1" thickBot="1" x14ac:dyDescent="0.3">
      <c r="A257" s="24"/>
      <c r="B257" s="96" t="s">
        <v>443</v>
      </c>
      <c r="C257" s="97"/>
      <c r="D257" s="97"/>
      <c r="E257" s="97"/>
      <c r="F257" s="97"/>
      <c r="G257" s="311">
        <v>355489.39</v>
      </c>
      <c r="H257" s="312"/>
      <c r="I257" s="313"/>
      <c r="K257" s="24"/>
      <c r="L257" s="96" t="s">
        <v>443</v>
      </c>
      <c r="M257" s="97"/>
      <c r="N257" s="97"/>
      <c r="O257" s="97"/>
      <c r="P257" s="97"/>
      <c r="Q257" s="311">
        <v>1779833.42</v>
      </c>
      <c r="R257" s="312"/>
      <c r="S257" s="313"/>
    </row>
    <row r="258" spans="1:19" ht="21.75" customHeight="1" thickBot="1" x14ac:dyDescent="0.3">
      <c r="A258" s="19"/>
      <c r="B258" s="101" t="s">
        <v>242</v>
      </c>
      <c r="C258" s="102"/>
      <c r="D258" s="102"/>
      <c r="E258" s="102"/>
      <c r="F258" s="102"/>
      <c r="G258" s="307">
        <v>359847.17</v>
      </c>
      <c r="H258" s="308"/>
      <c r="I258" s="309"/>
      <c r="K258" s="19"/>
      <c r="L258" s="101" t="s">
        <v>242</v>
      </c>
      <c r="M258" s="102"/>
      <c r="N258" s="102"/>
      <c r="O258" s="102"/>
      <c r="P258" s="102"/>
      <c r="Q258" s="307">
        <v>1793053.56</v>
      </c>
      <c r="R258" s="308"/>
      <c r="S258" s="309"/>
    </row>
    <row r="259" spans="1:19" ht="21.75" customHeight="1" thickBot="1" x14ac:dyDescent="0.3">
      <c r="A259" s="19"/>
      <c r="B259" s="106" t="s">
        <v>444</v>
      </c>
      <c r="C259" s="107"/>
      <c r="D259" s="107"/>
      <c r="E259" s="107"/>
      <c r="F259" s="107"/>
      <c r="G259" s="307">
        <v>63226.879999999997</v>
      </c>
      <c r="H259" s="308"/>
      <c r="I259" s="309"/>
      <c r="K259" s="19"/>
      <c r="L259" s="106" t="s">
        <v>444</v>
      </c>
      <c r="M259" s="107"/>
      <c r="N259" s="107"/>
      <c r="O259" s="107"/>
      <c r="P259" s="107"/>
      <c r="Q259" s="307">
        <v>308484.84999999998</v>
      </c>
      <c r="R259" s="308"/>
      <c r="S259" s="309"/>
    </row>
    <row r="260" spans="1:19" ht="41.25" customHeight="1" x14ac:dyDescent="0.25">
      <c r="A260" s="4"/>
      <c r="B260" s="310" t="s">
        <v>528</v>
      </c>
      <c r="C260" s="310"/>
      <c r="D260" s="310"/>
      <c r="E260" s="310"/>
      <c r="F260" s="310"/>
      <c r="G260" s="310"/>
      <c r="H260" s="310"/>
      <c r="I260" s="310"/>
      <c r="K260" s="4"/>
      <c r="L260" s="310"/>
      <c r="M260" s="310"/>
      <c r="N260" s="310"/>
      <c r="O260" s="310"/>
      <c r="P260" s="310"/>
      <c r="Q260" s="310"/>
      <c r="R260" s="310"/>
      <c r="S260" s="310"/>
    </row>
    <row r="261" spans="1:19" x14ac:dyDescent="0.25">
      <c r="E261" s="50"/>
      <c r="I261" s="5"/>
      <c r="O261" s="50"/>
      <c r="S261" s="5"/>
    </row>
    <row r="262" spans="1:19" x14ac:dyDescent="0.25">
      <c r="A262" s="3"/>
      <c r="I262" s="5"/>
      <c r="K262" s="3"/>
      <c r="S262" s="5"/>
    </row>
    <row r="263" spans="1:19" ht="15.75" x14ac:dyDescent="0.25">
      <c r="A263" s="3"/>
      <c r="C263" s="30"/>
      <c r="K263" s="3"/>
      <c r="M263" s="30"/>
    </row>
    <row r="264" spans="1:19" ht="15.75" x14ac:dyDescent="0.25">
      <c r="A264" s="30"/>
      <c r="C264" s="30"/>
      <c r="K264" s="30"/>
      <c r="M264" s="30"/>
    </row>
  </sheetData>
  <mergeCells count="769">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S28:S29"/>
    <mergeCell ref="B29:F29"/>
    <mergeCell ref="L29:P29"/>
    <mergeCell ref="B26:F26"/>
    <mergeCell ref="G26:H26"/>
    <mergeCell ref="L26:P26"/>
    <mergeCell ref="Q26:R26"/>
    <mergeCell ref="B27:F27"/>
    <mergeCell ref="G27:H27"/>
    <mergeCell ref="L27:P27"/>
    <mergeCell ref="Q27:R27"/>
    <mergeCell ref="B30:F30"/>
    <mergeCell ref="G30:H30"/>
    <mergeCell ref="L30:P30"/>
    <mergeCell ref="Q30:R30"/>
    <mergeCell ref="B31:F31"/>
    <mergeCell ref="G31:H31"/>
    <mergeCell ref="L31:P31"/>
    <mergeCell ref="Q31:R31"/>
    <mergeCell ref="B28:F28"/>
    <mergeCell ref="G28:H29"/>
    <mergeCell ref="I28:I29"/>
    <mergeCell ref="L28:P28"/>
    <mergeCell ref="Q28:R29"/>
    <mergeCell ref="B34:F34"/>
    <mergeCell ref="G34:I34"/>
    <mergeCell ref="L34:P34"/>
    <mergeCell ref="Q34:S34"/>
    <mergeCell ref="B35:I35"/>
    <mergeCell ref="L35:S35"/>
    <mergeCell ref="B32:F32"/>
    <mergeCell ref="G32:I32"/>
    <mergeCell ref="L32:P32"/>
    <mergeCell ref="Q32:S32"/>
    <mergeCell ref="B33:F33"/>
    <mergeCell ref="G33:I33"/>
    <mergeCell ref="L33:P33"/>
    <mergeCell ref="Q33:S33"/>
    <mergeCell ref="Q42:R43"/>
    <mergeCell ref="S42:S43"/>
    <mergeCell ref="A44:A45"/>
    <mergeCell ref="B44:F45"/>
    <mergeCell ref="G44:I45"/>
    <mergeCell ref="K44:K45"/>
    <mergeCell ref="L44:P45"/>
    <mergeCell ref="Q44:S45"/>
    <mergeCell ref="A42:A43"/>
    <mergeCell ref="B42:F43"/>
    <mergeCell ref="G42:H43"/>
    <mergeCell ref="I42:I43"/>
    <mergeCell ref="K42:K43"/>
    <mergeCell ref="L42:P43"/>
    <mergeCell ref="B46:F46"/>
    <mergeCell ref="G46:H48"/>
    <mergeCell ref="I46:I47"/>
    <mergeCell ref="L46:P46"/>
    <mergeCell ref="Q46:R48"/>
    <mergeCell ref="S46:S47"/>
    <mergeCell ref="B47:F47"/>
    <mergeCell ref="L47:P47"/>
    <mergeCell ref="B48:F48"/>
    <mergeCell ref="L48:P48"/>
    <mergeCell ref="B53:F53"/>
    <mergeCell ref="L53:P53"/>
    <mergeCell ref="B49:F49"/>
    <mergeCell ref="G49:H49"/>
    <mergeCell ref="L49:P49"/>
    <mergeCell ref="Q49:R49"/>
    <mergeCell ref="B50:F50"/>
    <mergeCell ref="G50:H50"/>
    <mergeCell ref="L50:P50"/>
    <mergeCell ref="Q50:R50"/>
    <mergeCell ref="B51:F51"/>
    <mergeCell ref="G51:H54"/>
    <mergeCell ref="I51:I53"/>
    <mergeCell ref="L51:P51"/>
    <mergeCell ref="B58:F58"/>
    <mergeCell ref="G58:H62"/>
    <mergeCell ref="I58:I62"/>
    <mergeCell ref="L58:P58"/>
    <mergeCell ref="Q51:R54"/>
    <mergeCell ref="B54:F54"/>
    <mergeCell ref="L54:P54"/>
    <mergeCell ref="Q58:R62"/>
    <mergeCell ref="S58:S62"/>
    <mergeCell ref="Q55:R56"/>
    <mergeCell ref="S55:S56"/>
    <mergeCell ref="B56:F56"/>
    <mergeCell ref="L56:P56"/>
    <mergeCell ref="B57:F57"/>
    <mergeCell ref="G57:H57"/>
    <mergeCell ref="L57:P57"/>
    <mergeCell ref="Q57:R57"/>
    <mergeCell ref="B55:F55"/>
    <mergeCell ref="G55:H56"/>
    <mergeCell ref="I55:I56"/>
    <mergeCell ref="L55:P55"/>
    <mergeCell ref="S51:S53"/>
    <mergeCell ref="B52:F52"/>
    <mergeCell ref="L52:P52"/>
    <mergeCell ref="A59:A62"/>
    <mergeCell ref="B59:F59"/>
    <mergeCell ref="K59:K62"/>
    <mergeCell ref="L59:P59"/>
    <mergeCell ref="B60:F60"/>
    <mergeCell ref="L60:P60"/>
    <mergeCell ref="B61:F61"/>
    <mergeCell ref="L61:P61"/>
    <mergeCell ref="B62:F62"/>
    <mergeCell ref="L62:P62"/>
    <mergeCell ref="S65:S66"/>
    <mergeCell ref="B66:F66"/>
    <mergeCell ref="L66:P66"/>
    <mergeCell ref="B63:F63"/>
    <mergeCell ref="G63:H63"/>
    <mergeCell ref="L63:P63"/>
    <mergeCell ref="Q63:R63"/>
    <mergeCell ref="B64:F64"/>
    <mergeCell ref="G64:H64"/>
    <mergeCell ref="L64:P64"/>
    <mergeCell ref="Q64:R64"/>
    <mergeCell ref="B67:F67"/>
    <mergeCell ref="G67:H67"/>
    <mergeCell ref="L67:P67"/>
    <mergeCell ref="Q67:R67"/>
    <mergeCell ref="B68:F68"/>
    <mergeCell ref="G68:H68"/>
    <mergeCell ref="L68:P68"/>
    <mergeCell ref="Q68:R68"/>
    <mergeCell ref="B65:F65"/>
    <mergeCell ref="G65:H66"/>
    <mergeCell ref="I65:I66"/>
    <mergeCell ref="L65:P65"/>
    <mergeCell ref="Q65:R66"/>
    <mergeCell ref="B71:F71"/>
    <mergeCell ref="G71:I71"/>
    <mergeCell ref="L71:P71"/>
    <mergeCell ref="Q71:S71"/>
    <mergeCell ref="B72:I72"/>
    <mergeCell ref="L72:S72"/>
    <mergeCell ref="B69:F69"/>
    <mergeCell ref="G69:I69"/>
    <mergeCell ref="L69:P69"/>
    <mergeCell ref="Q69:S69"/>
    <mergeCell ref="B70:F70"/>
    <mergeCell ref="G70:I70"/>
    <mergeCell ref="L70:P70"/>
    <mergeCell ref="Q70:S70"/>
    <mergeCell ref="Q79:R80"/>
    <mergeCell ref="S79:S80"/>
    <mergeCell ref="A81:A82"/>
    <mergeCell ref="B81:F82"/>
    <mergeCell ref="G81:I82"/>
    <mergeCell ref="K81:K82"/>
    <mergeCell ref="L81:P82"/>
    <mergeCell ref="Q81:S82"/>
    <mergeCell ref="A79:A80"/>
    <mergeCell ref="B79:F80"/>
    <mergeCell ref="G79:H80"/>
    <mergeCell ref="I79:I80"/>
    <mergeCell ref="K79:K80"/>
    <mergeCell ref="L79:P80"/>
    <mergeCell ref="B83:F83"/>
    <mergeCell ref="G83:H85"/>
    <mergeCell ref="I83:I84"/>
    <mergeCell ref="L83:P83"/>
    <mergeCell ref="Q83:R85"/>
    <mergeCell ref="S83:S84"/>
    <mergeCell ref="B84:F84"/>
    <mergeCell ref="L84:P84"/>
    <mergeCell ref="B85:F85"/>
    <mergeCell ref="L85:P85"/>
    <mergeCell ref="B90:F90"/>
    <mergeCell ref="L90:P90"/>
    <mergeCell ref="B86:F86"/>
    <mergeCell ref="G86:H86"/>
    <mergeCell ref="L86:P86"/>
    <mergeCell ref="Q86:R86"/>
    <mergeCell ref="B87:F87"/>
    <mergeCell ref="G87:H87"/>
    <mergeCell ref="L87:P87"/>
    <mergeCell ref="Q87:R87"/>
    <mergeCell ref="B88:F88"/>
    <mergeCell ref="G88:H91"/>
    <mergeCell ref="I88:I90"/>
    <mergeCell ref="L88:P88"/>
    <mergeCell ref="B95:F95"/>
    <mergeCell ref="G95:H99"/>
    <mergeCell ref="I95:I99"/>
    <mergeCell ref="L95:P95"/>
    <mergeCell ref="Q88:R91"/>
    <mergeCell ref="B91:F91"/>
    <mergeCell ref="L91:P91"/>
    <mergeCell ref="Q95:R99"/>
    <mergeCell ref="S95:S99"/>
    <mergeCell ref="Q92:R93"/>
    <mergeCell ref="S92:S93"/>
    <mergeCell ref="B93:F93"/>
    <mergeCell ref="L93:P93"/>
    <mergeCell ref="B94:F94"/>
    <mergeCell ref="G94:H94"/>
    <mergeCell ref="L94:P94"/>
    <mergeCell ref="Q94:R94"/>
    <mergeCell ref="B92:F92"/>
    <mergeCell ref="G92:H93"/>
    <mergeCell ref="I92:I93"/>
    <mergeCell ref="L92:P92"/>
    <mergeCell ref="S88:S90"/>
    <mergeCell ref="B89:F89"/>
    <mergeCell ref="L89:P89"/>
    <mergeCell ref="A96:A99"/>
    <mergeCell ref="B96:F96"/>
    <mergeCell ref="K96:K99"/>
    <mergeCell ref="L96:P96"/>
    <mergeCell ref="B97:F97"/>
    <mergeCell ref="L97:P97"/>
    <mergeCell ref="B98:F98"/>
    <mergeCell ref="L98:P98"/>
    <mergeCell ref="B99:F99"/>
    <mergeCell ref="L99:P99"/>
    <mergeCell ref="S102:S103"/>
    <mergeCell ref="B103:F103"/>
    <mergeCell ref="L103:P103"/>
    <mergeCell ref="B100:F100"/>
    <mergeCell ref="G100:H100"/>
    <mergeCell ref="L100:P100"/>
    <mergeCell ref="Q100:R100"/>
    <mergeCell ref="B101:F101"/>
    <mergeCell ref="G101:H101"/>
    <mergeCell ref="L101:P101"/>
    <mergeCell ref="Q101:R101"/>
    <mergeCell ref="B104:F104"/>
    <mergeCell ref="G104:H104"/>
    <mergeCell ref="L104:P104"/>
    <mergeCell ref="Q104:R104"/>
    <mergeCell ref="B105:F105"/>
    <mergeCell ref="G105:H105"/>
    <mergeCell ref="L105:P105"/>
    <mergeCell ref="Q105:R105"/>
    <mergeCell ref="B102:F102"/>
    <mergeCell ref="G102:H103"/>
    <mergeCell ref="I102:I103"/>
    <mergeCell ref="L102:P102"/>
    <mergeCell ref="Q102:R103"/>
    <mergeCell ref="B108:F108"/>
    <mergeCell ref="G108:I108"/>
    <mergeCell ref="L108:P108"/>
    <mergeCell ref="Q108:S108"/>
    <mergeCell ref="B109:I109"/>
    <mergeCell ref="L109:S109"/>
    <mergeCell ref="B106:F106"/>
    <mergeCell ref="G106:I106"/>
    <mergeCell ref="L106:P106"/>
    <mergeCell ref="Q106:S106"/>
    <mergeCell ref="B107:F107"/>
    <mergeCell ref="G107:I107"/>
    <mergeCell ref="L107:P107"/>
    <mergeCell ref="Q107:S107"/>
    <mergeCell ref="Q116:R117"/>
    <mergeCell ref="S116:S117"/>
    <mergeCell ref="A118:A119"/>
    <mergeCell ref="B118:F119"/>
    <mergeCell ref="G118:I119"/>
    <mergeCell ref="K118:K119"/>
    <mergeCell ref="L118:P119"/>
    <mergeCell ref="Q118:S119"/>
    <mergeCell ref="A116:A117"/>
    <mergeCell ref="B116:F117"/>
    <mergeCell ref="G116:H117"/>
    <mergeCell ref="I116:I117"/>
    <mergeCell ref="K116:K117"/>
    <mergeCell ref="L116:P117"/>
    <mergeCell ref="B120:F120"/>
    <mergeCell ref="G120:H122"/>
    <mergeCell ref="I120:I121"/>
    <mergeCell ref="L120:P120"/>
    <mergeCell ref="Q120:R122"/>
    <mergeCell ref="S120:S121"/>
    <mergeCell ref="B121:F121"/>
    <mergeCell ref="L121:P121"/>
    <mergeCell ref="B122:F122"/>
    <mergeCell ref="L122:P122"/>
    <mergeCell ref="B127:F127"/>
    <mergeCell ref="L127:P127"/>
    <mergeCell ref="B123:F123"/>
    <mergeCell ref="G123:H123"/>
    <mergeCell ref="L123:P123"/>
    <mergeCell ref="Q123:R123"/>
    <mergeCell ref="B124:F124"/>
    <mergeCell ref="G124:H124"/>
    <mergeCell ref="L124:P124"/>
    <mergeCell ref="Q124:R124"/>
    <mergeCell ref="B125:F125"/>
    <mergeCell ref="G125:H128"/>
    <mergeCell ref="I125:I127"/>
    <mergeCell ref="L125:P125"/>
    <mergeCell ref="B132:F132"/>
    <mergeCell ref="G132:H136"/>
    <mergeCell ref="I132:I136"/>
    <mergeCell ref="L132:P132"/>
    <mergeCell ref="Q125:R128"/>
    <mergeCell ref="B128:F128"/>
    <mergeCell ref="L128:P128"/>
    <mergeCell ref="Q132:R136"/>
    <mergeCell ref="S132:S136"/>
    <mergeCell ref="Q129:R130"/>
    <mergeCell ref="S129:S130"/>
    <mergeCell ref="B130:F130"/>
    <mergeCell ref="L130:P130"/>
    <mergeCell ref="B131:F131"/>
    <mergeCell ref="G131:H131"/>
    <mergeCell ref="L131:P131"/>
    <mergeCell ref="Q131:R131"/>
    <mergeCell ref="B129:F129"/>
    <mergeCell ref="G129:H130"/>
    <mergeCell ref="I129:I130"/>
    <mergeCell ref="L129:P129"/>
    <mergeCell ref="S125:S127"/>
    <mergeCell ref="B126:F126"/>
    <mergeCell ref="L126:P126"/>
    <mergeCell ref="A133:A136"/>
    <mergeCell ref="B133:F133"/>
    <mergeCell ref="K133:K136"/>
    <mergeCell ref="L133:P133"/>
    <mergeCell ref="B134:F134"/>
    <mergeCell ref="L134:P134"/>
    <mergeCell ref="B135:F135"/>
    <mergeCell ref="L135:P135"/>
    <mergeCell ref="B136:F136"/>
    <mergeCell ref="L136:P136"/>
    <mergeCell ref="S139:S140"/>
    <mergeCell ref="B140:F140"/>
    <mergeCell ref="L140:P140"/>
    <mergeCell ref="B137:F137"/>
    <mergeCell ref="G137:H137"/>
    <mergeCell ref="L137:P137"/>
    <mergeCell ref="Q137:R137"/>
    <mergeCell ref="B138:F138"/>
    <mergeCell ref="G138:H138"/>
    <mergeCell ref="L138:P138"/>
    <mergeCell ref="Q138:R138"/>
    <mergeCell ref="B141:F141"/>
    <mergeCell ref="G141:H141"/>
    <mergeCell ref="L141:P141"/>
    <mergeCell ref="Q141:R141"/>
    <mergeCell ref="B142:F142"/>
    <mergeCell ref="G142:H142"/>
    <mergeCell ref="L142:P142"/>
    <mergeCell ref="Q142:R142"/>
    <mergeCell ref="B139:F139"/>
    <mergeCell ref="G139:H140"/>
    <mergeCell ref="I139:I140"/>
    <mergeCell ref="L139:P139"/>
    <mergeCell ref="Q139:R140"/>
    <mergeCell ref="B145:F145"/>
    <mergeCell ref="G145:I145"/>
    <mergeCell ref="L145:P145"/>
    <mergeCell ref="Q145:S145"/>
    <mergeCell ref="B146:I146"/>
    <mergeCell ref="L146:S146"/>
    <mergeCell ref="B143:F143"/>
    <mergeCell ref="G143:I143"/>
    <mergeCell ref="L143:P143"/>
    <mergeCell ref="Q143:S143"/>
    <mergeCell ref="B144:F144"/>
    <mergeCell ref="G144:I144"/>
    <mergeCell ref="L144:P144"/>
    <mergeCell ref="Q144:S144"/>
    <mergeCell ref="Q153:R154"/>
    <mergeCell ref="S153:S154"/>
    <mergeCell ref="A155:A156"/>
    <mergeCell ref="B155:F156"/>
    <mergeCell ref="G155:I156"/>
    <mergeCell ref="K155:K156"/>
    <mergeCell ref="L155:P156"/>
    <mergeCell ref="Q155:S156"/>
    <mergeCell ref="A153:A154"/>
    <mergeCell ref="B153:F154"/>
    <mergeCell ref="G153:H154"/>
    <mergeCell ref="I153:I154"/>
    <mergeCell ref="K153:K154"/>
    <mergeCell ref="L153:P154"/>
    <mergeCell ref="B157:F157"/>
    <mergeCell ref="G157:H159"/>
    <mergeCell ref="I157:I158"/>
    <mergeCell ref="L157:P157"/>
    <mergeCell ref="Q157:R159"/>
    <mergeCell ref="S157:S158"/>
    <mergeCell ref="B158:F158"/>
    <mergeCell ref="L158:P158"/>
    <mergeCell ref="B159:F159"/>
    <mergeCell ref="L159:P159"/>
    <mergeCell ref="B164:F164"/>
    <mergeCell ref="L164:P164"/>
    <mergeCell ref="B160:F160"/>
    <mergeCell ref="G160:H160"/>
    <mergeCell ref="L160:P160"/>
    <mergeCell ref="Q160:R160"/>
    <mergeCell ref="B161:F161"/>
    <mergeCell ref="G161:H161"/>
    <mergeCell ref="L161:P161"/>
    <mergeCell ref="Q161:R161"/>
    <mergeCell ref="B162:F162"/>
    <mergeCell ref="G162:H165"/>
    <mergeCell ref="I162:I164"/>
    <mergeCell ref="L162:P162"/>
    <mergeCell ref="B169:F169"/>
    <mergeCell ref="G169:H173"/>
    <mergeCell ref="I169:I173"/>
    <mergeCell ref="L169:P169"/>
    <mergeCell ref="Q162:R165"/>
    <mergeCell ref="B165:F165"/>
    <mergeCell ref="L165:P165"/>
    <mergeCell ref="Q169:R173"/>
    <mergeCell ref="S169:S173"/>
    <mergeCell ref="Q166:R167"/>
    <mergeCell ref="S166:S167"/>
    <mergeCell ref="B167:F167"/>
    <mergeCell ref="L167:P167"/>
    <mergeCell ref="B168:F168"/>
    <mergeCell ref="G168:H168"/>
    <mergeCell ref="L168:P168"/>
    <mergeCell ref="Q168:R168"/>
    <mergeCell ref="B166:F166"/>
    <mergeCell ref="G166:H167"/>
    <mergeCell ref="I166:I167"/>
    <mergeCell ref="L166:P166"/>
    <mergeCell ref="S162:S164"/>
    <mergeCell ref="B163:F163"/>
    <mergeCell ref="L163:P163"/>
    <mergeCell ref="A170:A173"/>
    <mergeCell ref="B170:F170"/>
    <mergeCell ref="K170:K173"/>
    <mergeCell ref="L170:P170"/>
    <mergeCell ref="B171:F171"/>
    <mergeCell ref="L171:P171"/>
    <mergeCell ref="B172:F172"/>
    <mergeCell ref="L172:P172"/>
    <mergeCell ref="B173:F173"/>
    <mergeCell ref="L173:P173"/>
    <mergeCell ref="B176:F176"/>
    <mergeCell ref="G176:H177"/>
    <mergeCell ref="I176:I177"/>
    <mergeCell ref="L176:P176"/>
    <mergeCell ref="Q176:R177"/>
    <mergeCell ref="S176:S177"/>
    <mergeCell ref="B177:F177"/>
    <mergeCell ref="L177:P177"/>
    <mergeCell ref="B174:F174"/>
    <mergeCell ref="G174:H174"/>
    <mergeCell ref="L174:P174"/>
    <mergeCell ref="Q174:R174"/>
    <mergeCell ref="B175:F175"/>
    <mergeCell ref="G175:H175"/>
    <mergeCell ref="L175:P175"/>
    <mergeCell ref="Q175:R175"/>
    <mergeCell ref="B180:F180"/>
    <mergeCell ref="G180:I180"/>
    <mergeCell ref="L180:P180"/>
    <mergeCell ref="Q180:S180"/>
    <mergeCell ref="B181:F181"/>
    <mergeCell ref="G181:I181"/>
    <mergeCell ref="L181:P181"/>
    <mergeCell ref="Q181:S181"/>
    <mergeCell ref="B178:F178"/>
    <mergeCell ref="G178:H178"/>
    <mergeCell ref="L178:P178"/>
    <mergeCell ref="Q178:R178"/>
    <mergeCell ref="B179:F179"/>
    <mergeCell ref="G179:H179"/>
    <mergeCell ref="L179:P179"/>
    <mergeCell ref="Q179:R179"/>
    <mergeCell ref="B182:F182"/>
    <mergeCell ref="G182:I182"/>
    <mergeCell ref="L182:P182"/>
    <mergeCell ref="Q182:S182"/>
    <mergeCell ref="L183:S183"/>
    <mergeCell ref="A191:A192"/>
    <mergeCell ref="B191:F192"/>
    <mergeCell ref="G191:H192"/>
    <mergeCell ref="I191:I192"/>
    <mergeCell ref="K191:K192"/>
    <mergeCell ref="L191:P192"/>
    <mergeCell ref="Q191:R192"/>
    <mergeCell ref="S191:S192"/>
    <mergeCell ref="B183:I183"/>
    <mergeCell ref="A193:A194"/>
    <mergeCell ref="B193:F194"/>
    <mergeCell ref="G193:I194"/>
    <mergeCell ref="K193:K194"/>
    <mergeCell ref="L193:P194"/>
    <mergeCell ref="Q193:S194"/>
    <mergeCell ref="B195:F195"/>
    <mergeCell ref="G195:H197"/>
    <mergeCell ref="I195:I196"/>
    <mergeCell ref="L195:P195"/>
    <mergeCell ref="Q195:R197"/>
    <mergeCell ref="S195:S196"/>
    <mergeCell ref="B196:F196"/>
    <mergeCell ref="L196:P196"/>
    <mergeCell ref="B197:F197"/>
    <mergeCell ref="L197:P197"/>
    <mergeCell ref="B202:F202"/>
    <mergeCell ref="L202:P202"/>
    <mergeCell ref="B198:F198"/>
    <mergeCell ref="G198:H198"/>
    <mergeCell ref="L198:P198"/>
    <mergeCell ref="Q198:R198"/>
    <mergeCell ref="B199:F199"/>
    <mergeCell ref="G199:H199"/>
    <mergeCell ref="L199:P199"/>
    <mergeCell ref="Q199:R199"/>
    <mergeCell ref="B200:F200"/>
    <mergeCell ref="G200:H203"/>
    <mergeCell ref="I200:I202"/>
    <mergeCell ref="L200:P200"/>
    <mergeCell ref="B207:F207"/>
    <mergeCell ref="G207:H211"/>
    <mergeCell ref="I207:I211"/>
    <mergeCell ref="L207:P207"/>
    <mergeCell ref="Q200:R203"/>
    <mergeCell ref="B203:F203"/>
    <mergeCell ref="L203:P203"/>
    <mergeCell ref="Q207:R211"/>
    <mergeCell ref="S207:S211"/>
    <mergeCell ref="Q204:R205"/>
    <mergeCell ref="S204:S205"/>
    <mergeCell ref="B205:F205"/>
    <mergeCell ref="L205:P205"/>
    <mergeCell ref="B206:F206"/>
    <mergeCell ref="G206:H206"/>
    <mergeCell ref="L206:P206"/>
    <mergeCell ref="Q206:R206"/>
    <mergeCell ref="B204:F204"/>
    <mergeCell ref="G204:H205"/>
    <mergeCell ref="I204:I205"/>
    <mergeCell ref="L204:P204"/>
    <mergeCell ref="S200:S202"/>
    <mergeCell ref="B201:F201"/>
    <mergeCell ref="L201:P201"/>
    <mergeCell ref="A208:A211"/>
    <mergeCell ref="B208:F208"/>
    <mergeCell ref="K208:K211"/>
    <mergeCell ref="L208:P208"/>
    <mergeCell ref="B209:F209"/>
    <mergeCell ref="L209:P209"/>
    <mergeCell ref="B210:F210"/>
    <mergeCell ref="L210:P210"/>
    <mergeCell ref="B211:F211"/>
    <mergeCell ref="L211:P211"/>
    <mergeCell ref="B214:F214"/>
    <mergeCell ref="G214:H215"/>
    <mergeCell ref="I214:I215"/>
    <mergeCell ref="L214:P214"/>
    <mergeCell ref="Q214:R215"/>
    <mergeCell ref="S214:S215"/>
    <mergeCell ref="B215:F215"/>
    <mergeCell ref="L215:P215"/>
    <mergeCell ref="B212:F212"/>
    <mergeCell ref="G212:H212"/>
    <mergeCell ref="L212:P212"/>
    <mergeCell ref="Q212:R212"/>
    <mergeCell ref="B213:F213"/>
    <mergeCell ref="G213:H213"/>
    <mergeCell ref="L213:P213"/>
    <mergeCell ref="Q213:R213"/>
    <mergeCell ref="B218:F218"/>
    <mergeCell ref="G218:I218"/>
    <mergeCell ref="L218:P218"/>
    <mergeCell ref="Q218:S218"/>
    <mergeCell ref="B219:F219"/>
    <mergeCell ref="G219:I219"/>
    <mergeCell ref="L219:P219"/>
    <mergeCell ref="Q219:S219"/>
    <mergeCell ref="B216:F216"/>
    <mergeCell ref="G216:H216"/>
    <mergeCell ref="L216:P216"/>
    <mergeCell ref="Q216:R216"/>
    <mergeCell ref="B217:F217"/>
    <mergeCell ref="G217:H217"/>
    <mergeCell ref="L217:P217"/>
    <mergeCell ref="Q217:R217"/>
    <mergeCell ref="B220:F220"/>
    <mergeCell ref="G220:I220"/>
    <mergeCell ref="L220:P220"/>
    <mergeCell ref="Q220:S220"/>
    <mergeCell ref="B221:I221"/>
    <mergeCell ref="A230:A231"/>
    <mergeCell ref="B230:F231"/>
    <mergeCell ref="G230:H231"/>
    <mergeCell ref="I230:I231"/>
    <mergeCell ref="K230:K231"/>
    <mergeCell ref="L230:P231"/>
    <mergeCell ref="Q230:R231"/>
    <mergeCell ref="S230:S231"/>
    <mergeCell ref="A232:A233"/>
    <mergeCell ref="B232:F233"/>
    <mergeCell ref="G232:I233"/>
    <mergeCell ref="K232:K233"/>
    <mergeCell ref="L232:P233"/>
    <mergeCell ref="Q232:S233"/>
    <mergeCell ref="B234:F234"/>
    <mergeCell ref="G234:H236"/>
    <mergeCell ref="I234:I235"/>
    <mergeCell ref="L234:P234"/>
    <mergeCell ref="Q234:R236"/>
    <mergeCell ref="S234:S235"/>
    <mergeCell ref="B235:F235"/>
    <mergeCell ref="L235:P235"/>
    <mergeCell ref="B236:F236"/>
    <mergeCell ref="L236:P236"/>
    <mergeCell ref="B241:F241"/>
    <mergeCell ref="L241:P241"/>
    <mergeCell ref="B237:F237"/>
    <mergeCell ref="G237:H237"/>
    <mergeCell ref="L237:P237"/>
    <mergeCell ref="Q237:R237"/>
    <mergeCell ref="B238:F238"/>
    <mergeCell ref="G238:H238"/>
    <mergeCell ref="L238:P238"/>
    <mergeCell ref="Q238:R238"/>
    <mergeCell ref="B239:F239"/>
    <mergeCell ref="G239:H242"/>
    <mergeCell ref="I239:I241"/>
    <mergeCell ref="L239:P239"/>
    <mergeCell ref="B246:F246"/>
    <mergeCell ref="G246:H250"/>
    <mergeCell ref="I246:I250"/>
    <mergeCell ref="L246:P246"/>
    <mergeCell ref="Q239:R242"/>
    <mergeCell ref="B242:F242"/>
    <mergeCell ref="L242:P242"/>
    <mergeCell ref="Q246:R250"/>
    <mergeCell ref="S246:S250"/>
    <mergeCell ref="Q243:R244"/>
    <mergeCell ref="S243:S244"/>
    <mergeCell ref="B244:F244"/>
    <mergeCell ref="L244:P244"/>
    <mergeCell ref="B245:F245"/>
    <mergeCell ref="G245:H245"/>
    <mergeCell ref="L245:P245"/>
    <mergeCell ref="Q245:R245"/>
    <mergeCell ref="B243:F243"/>
    <mergeCell ref="G243:H244"/>
    <mergeCell ref="I243:I244"/>
    <mergeCell ref="L243:P243"/>
    <mergeCell ref="S239:S241"/>
    <mergeCell ref="B240:F240"/>
    <mergeCell ref="L240:P240"/>
    <mergeCell ref="A247:A250"/>
    <mergeCell ref="B247:F247"/>
    <mergeCell ref="K247:K250"/>
    <mergeCell ref="L247:P247"/>
    <mergeCell ref="B248:F248"/>
    <mergeCell ref="L248:P248"/>
    <mergeCell ref="B249:F249"/>
    <mergeCell ref="L249:P249"/>
    <mergeCell ref="B250:F250"/>
    <mergeCell ref="L250:P250"/>
    <mergeCell ref="S253:S254"/>
    <mergeCell ref="B254:F254"/>
    <mergeCell ref="L254:P254"/>
    <mergeCell ref="B251:F251"/>
    <mergeCell ref="G251:H251"/>
    <mergeCell ref="L251:P251"/>
    <mergeCell ref="Q251:R251"/>
    <mergeCell ref="B252:F252"/>
    <mergeCell ref="G252:H252"/>
    <mergeCell ref="L252:P252"/>
    <mergeCell ref="Q252:R252"/>
    <mergeCell ref="B255:F255"/>
    <mergeCell ref="G255:H255"/>
    <mergeCell ref="L255:P255"/>
    <mergeCell ref="Q255:R255"/>
    <mergeCell ref="B256:F256"/>
    <mergeCell ref="G256:H256"/>
    <mergeCell ref="L256:P256"/>
    <mergeCell ref="Q256:R256"/>
    <mergeCell ref="B253:F253"/>
    <mergeCell ref="G253:H254"/>
    <mergeCell ref="I253:I254"/>
    <mergeCell ref="L253:P253"/>
    <mergeCell ref="Q253:R254"/>
    <mergeCell ref="B259:F259"/>
    <mergeCell ref="G259:I259"/>
    <mergeCell ref="L259:P259"/>
    <mergeCell ref="Q259:S259"/>
    <mergeCell ref="B260:I260"/>
    <mergeCell ref="L260:S260"/>
    <mergeCell ref="B257:F257"/>
    <mergeCell ref="G257:I257"/>
    <mergeCell ref="L257:P257"/>
    <mergeCell ref="Q257:S257"/>
    <mergeCell ref="B258:F258"/>
    <mergeCell ref="G258:I258"/>
    <mergeCell ref="L258:P258"/>
    <mergeCell ref="Q258:S258"/>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S270"/>
  <sheetViews>
    <sheetView topLeftCell="A52" zoomScale="72" zoomScaleNormal="72" workbookViewId="0">
      <selection activeCell="I75" sqref="I75"/>
    </sheetView>
  </sheetViews>
  <sheetFormatPr defaultColWidth="9.140625" defaultRowHeight="15" x14ac:dyDescent="0.25"/>
  <cols>
    <col min="1" max="1" width="3.42578125" customWidth="1"/>
    <col min="7" max="7" width="10" customWidth="1"/>
    <col min="8" max="8" width="6" customWidth="1"/>
    <col min="9" max="9" width="53.5703125" customWidth="1"/>
    <col min="10" max="10" width="0.42578125" customWidth="1"/>
    <col min="11" max="11" width="4.42578125" customWidth="1"/>
    <col min="17" max="17" width="10.28515625" customWidth="1"/>
    <col min="19" max="19" width="55.85546875" customWidth="1"/>
    <col min="257" max="257" width="3.42578125" customWidth="1"/>
    <col min="263" max="263" width="10" customWidth="1"/>
    <col min="264" max="264" width="6" customWidth="1"/>
    <col min="265" max="265" width="53.5703125" customWidth="1"/>
    <col min="266" max="266" width="0.42578125" customWidth="1"/>
    <col min="267" max="267" width="4.42578125" customWidth="1"/>
    <col min="273" max="273" width="10.28515625" customWidth="1"/>
    <col min="275" max="275" width="55.85546875" customWidth="1"/>
    <col min="513" max="513" width="3.42578125" customWidth="1"/>
    <col min="519" max="519" width="10" customWidth="1"/>
    <col min="520" max="520" width="6" customWidth="1"/>
    <col min="521" max="521" width="53.5703125" customWidth="1"/>
    <col min="522" max="522" width="0.42578125" customWidth="1"/>
    <col min="523" max="523" width="4.42578125" customWidth="1"/>
    <col min="529" max="529" width="10.28515625" customWidth="1"/>
    <col min="531" max="531" width="55.85546875" customWidth="1"/>
    <col min="769" max="769" width="3.42578125" customWidth="1"/>
    <col min="775" max="775" width="10" customWidth="1"/>
    <col min="776" max="776" width="6" customWidth="1"/>
    <col min="777" max="777" width="53.5703125" customWidth="1"/>
    <col min="778" max="778" width="0.42578125" customWidth="1"/>
    <col min="779" max="779" width="4.42578125" customWidth="1"/>
    <col min="785" max="785" width="10.28515625" customWidth="1"/>
    <col min="787" max="787" width="55.85546875" customWidth="1"/>
    <col min="1025" max="1025" width="3.42578125" customWidth="1"/>
    <col min="1031" max="1031" width="10" customWidth="1"/>
    <col min="1032" max="1032" width="6" customWidth="1"/>
    <col min="1033" max="1033" width="53.5703125" customWidth="1"/>
    <col min="1034" max="1034" width="0.42578125" customWidth="1"/>
    <col min="1035" max="1035" width="4.42578125" customWidth="1"/>
    <col min="1041" max="1041" width="10.28515625" customWidth="1"/>
    <col min="1043" max="1043" width="55.85546875" customWidth="1"/>
    <col min="1281" max="1281" width="3.42578125" customWidth="1"/>
    <col min="1287" max="1287" width="10" customWidth="1"/>
    <col min="1288" max="1288" width="6" customWidth="1"/>
    <col min="1289" max="1289" width="53.5703125" customWidth="1"/>
    <col min="1290" max="1290" width="0.42578125" customWidth="1"/>
    <col min="1291" max="1291" width="4.42578125" customWidth="1"/>
    <col min="1297" max="1297" width="10.28515625" customWidth="1"/>
    <col min="1299" max="1299" width="55.85546875" customWidth="1"/>
    <col min="1537" max="1537" width="3.42578125" customWidth="1"/>
    <col min="1543" max="1543" width="10" customWidth="1"/>
    <col min="1544" max="1544" width="6" customWidth="1"/>
    <col min="1545" max="1545" width="53.5703125" customWidth="1"/>
    <col min="1546" max="1546" width="0.42578125" customWidth="1"/>
    <col min="1547" max="1547" width="4.42578125" customWidth="1"/>
    <col min="1553" max="1553" width="10.28515625" customWidth="1"/>
    <col min="1555" max="1555" width="55.85546875" customWidth="1"/>
    <col min="1793" max="1793" width="3.42578125" customWidth="1"/>
    <col min="1799" max="1799" width="10" customWidth="1"/>
    <col min="1800" max="1800" width="6" customWidth="1"/>
    <col min="1801" max="1801" width="53.5703125" customWidth="1"/>
    <col min="1802" max="1802" width="0.42578125" customWidth="1"/>
    <col min="1803" max="1803" width="4.42578125" customWidth="1"/>
    <col min="1809" max="1809" width="10.28515625" customWidth="1"/>
    <col min="1811" max="1811" width="55.85546875" customWidth="1"/>
    <col min="2049" max="2049" width="3.42578125" customWidth="1"/>
    <col min="2055" max="2055" width="10" customWidth="1"/>
    <col min="2056" max="2056" width="6" customWidth="1"/>
    <col min="2057" max="2057" width="53.5703125" customWidth="1"/>
    <col min="2058" max="2058" width="0.42578125" customWidth="1"/>
    <col min="2059" max="2059" width="4.42578125" customWidth="1"/>
    <col min="2065" max="2065" width="10.28515625" customWidth="1"/>
    <col min="2067" max="2067" width="55.85546875" customWidth="1"/>
    <col min="2305" max="2305" width="3.42578125" customWidth="1"/>
    <col min="2311" max="2311" width="10" customWidth="1"/>
    <col min="2312" max="2312" width="6" customWidth="1"/>
    <col min="2313" max="2313" width="53.5703125" customWidth="1"/>
    <col min="2314" max="2314" width="0.42578125" customWidth="1"/>
    <col min="2315" max="2315" width="4.42578125" customWidth="1"/>
    <col min="2321" max="2321" width="10.28515625" customWidth="1"/>
    <col min="2323" max="2323" width="55.85546875" customWidth="1"/>
    <col min="2561" max="2561" width="3.42578125" customWidth="1"/>
    <col min="2567" max="2567" width="10" customWidth="1"/>
    <col min="2568" max="2568" width="6" customWidth="1"/>
    <col min="2569" max="2569" width="53.5703125" customWidth="1"/>
    <col min="2570" max="2570" width="0.42578125" customWidth="1"/>
    <col min="2571" max="2571" width="4.42578125" customWidth="1"/>
    <col min="2577" max="2577" width="10.28515625" customWidth="1"/>
    <col min="2579" max="2579" width="55.85546875" customWidth="1"/>
    <col min="2817" max="2817" width="3.42578125" customWidth="1"/>
    <col min="2823" max="2823" width="10" customWidth="1"/>
    <col min="2824" max="2824" width="6" customWidth="1"/>
    <col min="2825" max="2825" width="53.5703125" customWidth="1"/>
    <col min="2826" max="2826" width="0.42578125" customWidth="1"/>
    <col min="2827" max="2827" width="4.42578125" customWidth="1"/>
    <col min="2833" max="2833" width="10.28515625" customWidth="1"/>
    <col min="2835" max="2835" width="55.85546875" customWidth="1"/>
    <col min="3073" max="3073" width="3.42578125" customWidth="1"/>
    <col min="3079" max="3079" width="10" customWidth="1"/>
    <col min="3080" max="3080" width="6" customWidth="1"/>
    <col min="3081" max="3081" width="53.5703125" customWidth="1"/>
    <col min="3082" max="3082" width="0.42578125" customWidth="1"/>
    <col min="3083" max="3083" width="4.42578125" customWidth="1"/>
    <col min="3089" max="3089" width="10.28515625" customWidth="1"/>
    <col min="3091" max="3091" width="55.85546875" customWidth="1"/>
    <col min="3329" max="3329" width="3.42578125" customWidth="1"/>
    <col min="3335" max="3335" width="10" customWidth="1"/>
    <col min="3336" max="3336" width="6" customWidth="1"/>
    <col min="3337" max="3337" width="53.5703125" customWidth="1"/>
    <col min="3338" max="3338" width="0.42578125" customWidth="1"/>
    <col min="3339" max="3339" width="4.42578125" customWidth="1"/>
    <col min="3345" max="3345" width="10.28515625" customWidth="1"/>
    <col min="3347" max="3347" width="55.85546875" customWidth="1"/>
    <col min="3585" max="3585" width="3.42578125" customWidth="1"/>
    <col min="3591" max="3591" width="10" customWidth="1"/>
    <col min="3592" max="3592" width="6" customWidth="1"/>
    <col min="3593" max="3593" width="53.5703125" customWidth="1"/>
    <col min="3594" max="3594" width="0.42578125" customWidth="1"/>
    <col min="3595" max="3595" width="4.42578125" customWidth="1"/>
    <col min="3601" max="3601" width="10.28515625" customWidth="1"/>
    <col min="3603" max="3603" width="55.85546875" customWidth="1"/>
    <col min="3841" max="3841" width="3.42578125" customWidth="1"/>
    <col min="3847" max="3847" width="10" customWidth="1"/>
    <col min="3848" max="3848" width="6" customWidth="1"/>
    <col min="3849" max="3849" width="53.5703125" customWidth="1"/>
    <col min="3850" max="3850" width="0.42578125" customWidth="1"/>
    <col min="3851" max="3851" width="4.42578125" customWidth="1"/>
    <col min="3857" max="3857" width="10.28515625" customWidth="1"/>
    <col min="3859" max="3859" width="55.85546875" customWidth="1"/>
    <col min="4097" max="4097" width="3.42578125" customWidth="1"/>
    <col min="4103" max="4103" width="10" customWidth="1"/>
    <col min="4104" max="4104" width="6" customWidth="1"/>
    <col min="4105" max="4105" width="53.5703125" customWidth="1"/>
    <col min="4106" max="4106" width="0.42578125" customWidth="1"/>
    <col min="4107" max="4107" width="4.42578125" customWidth="1"/>
    <col min="4113" max="4113" width="10.28515625" customWidth="1"/>
    <col min="4115" max="4115" width="55.85546875" customWidth="1"/>
    <col min="4353" max="4353" width="3.42578125" customWidth="1"/>
    <col min="4359" max="4359" width="10" customWidth="1"/>
    <col min="4360" max="4360" width="6" customWidth="1"/>
    <col min="4361" max="4361" width="53.5703125" customWidth="1"/>
    <col min="4362" max="4362" width="0.42578125" customWidth="1"/>
    <col min="4363" max="4363" width="4.42578125" customWidth="1"/>
    <col min="4369" max="4369" width="10.28515625" customWidth="1"/>
    <col min="4371" max="4371" width="55.85546875" customWidth="1"/>
    <col min="4609" max="4609" width="3.42578125" customWidth="1"/>
    <col min="4615" max="4615" width="10" customWidth="1"/>
    <col min="4616" max="4616" width="6" customWidth="1"/>
    <col min="4617" max="4617" width="53.5703125" customWidth="1"/>
    <col min="4618" max="4618" width="0.42578125" customWidth="1"/>
    <col min="4619" max="4619" width="4.42578125" customWidth="1"/>
    <col min="4625" max="4625" width="10.28515625" customWidth="1"/>
    <col min="4627" max="4627" width="55.85546875" customWidth="1"/>
    <col min="4865" max="4865" width="3.42578125" customWidth="1"/>
    <col min="4871" max="4871" width="10" customWidth="1"/>
    <col min="4872" max="4872" width="6" customWidth="1"/>
    <col min="4873" max="4873" width="53.5703125" customWidth="1"/>
    <col min="4874" max="4874" width="0.42578125" customWidth="1"/>
    <col min="4875" max="4875" width="4.42578125" customWidth="1"/>
    <col min="4881" max="4881" width="10.28515625" customWidth="1"/>
    <col min="4883" max="4883" width="55.85546875" customWidth="1"/>
    <col min="5121" max="5121" width="3.42578125" customWidth="1"/>
    <col min="5127" max="5127" width="10" customWidth="1"/>
    <col min="5128" max="5128" width="6" customWidth="1"/>
    <col min="5129" max="5129" width="53.5703125" customWidth="1"/>
    <col min="5130" max="5130" width="0.42578125" customWidth="1"/>
    <col min="5131" max="5131" width="4.42578125" customWidth="1"/>
    <col min="5137" max="5137" width="10.28515625" customWidth="1"/>
    <col min="5139" max="5139" width="55.85546875" customWidth="1"/>
    <col min="5377" max="5377" width="3.42578125" customWidth="1"/>
    <col min="5383" max="5383" width="10" customWidth="1"/>
    <col min="5384" max="5384" width="6" customWidth="1"/>
    <col min="5385" max="5385" width="53.5703125" customWidth="1"/>
    <col min="5386" max="5386" width="0.42578125" customWidth="1"/>
    <col min="5387" max="5387" width="4.42578125" customWidth="1"/>
    <col min="5393" max="5393" width="10.28515625" customWidth="1"/>
    <col min="5395" max="5395" width="55.85546875" customWidth="1"/>
    <col min="5633" max="5633" width="3.42578125" customWidth="1"/>
    <col min="5639" max="5639" width="10" customWidth="1"/>
    <col min="5640" max="5640" width="6" customWidth="1"/>
    <col min="5641" max="5641" width="53.5703125" customWidth="1"/>
    <col min="5642" max="5642" width="0.42578125" customWidth="1"/>
    <col min="5643" max="5643" width="4.42578125" customWidth="1"/>
    <col min="5649" max="5649" width="10.28515625" customWidth="1"/>
    <col min="5651" max="5651" width="55.85546875" customWidth="1"/>
    <col min="5889" max="5889" width="3.42578125" customWidth="1"/>
    <col min="5895" max="5895" width="10" customWidth="1"/>
    <col min="5896" max="5896" width="6" customWidth="1"/>
    <col min="5897" max="5897" width="53.5703125" customWidth="1"/>
    <col min="5898" max="5898" width="0.42578125" customWidth="1"/>
    <col min="5899" max="5899" width="4.42578125" customWidth="1"/>
    <col min="5905" max="5905" width="10.28515625" customWidth="1"/>
    <col min="5907" max="5907" width="55.85546875" customWidth="1"/>
    <col min="6145" max="6145" width="3.42578125" customWidth="1"/>
    <col min="6151" max="6151" width="10" customWidth="1"/>
    <col min="6152" max="6152" width="6" customWidth="1"/>
    <col min="6153" max="6153" width="53.5703125" customWidth="1"/>
    <col min="6154" max="6154" width="0.42578125" customWidth="1"/>
    <col min="6155" max="6155" width="4.42578125" customWidth="1"/>
    <col min="6161" max="6161" width="10.28515625" customWidth="1"/>
    <col min="6163" max="6163" width="55.85546875" customWidth="1"/>
    <col min="6401" max="6401" width="3.42578125" customWidth="1"/>
    <col min="6407" max="6407" width="10" customWidth="1"/>
    <col min="6408" max="6408" width="6" customWidth="1"/>
    <col min="6409" max="6409" width="53.5703125" customWidth="1"/>
    <col min="6410" max="6410" width="0.42578125" customWidth="1"/>
    <col min="6411" max="6411" width="4.42578125" customWidth="1"/>
    <col min="6417" max="6417" width="10.28515625" customWidth="1"/>
    <col min="6419" max="6419" width="55.85546875" customWidth="1"/>
    <col min="6657" max="6657" width="3.42578125" customWidth="1"/>
    <col min="6663" max="6663" width="10" customWidth="1"/>
    <col min="6664" max="6664" width="6" customWidth="1"/>
    <col min="6665" max="6665" width="53.5703125" customWidth="1"/>
    <col min="6666" max="6666" width="0.42578125" customWidth="1"/>
    <col min="6667" max="6667" width="4.42578125" customWidth="1"/>
    <col min="6673" max="6673" width="10.28515625" customWidth="1"/>
    <col min="6675" max="6675" width="55.85546875" customWidth="1"/>
    <col min="6913" max="6913" width="3.42578125" customWidth="1"/>
    <col min="6919" max="6919" width="10" customWidth="1"/>
    <col min="6920" max="6920" width="6" customWidth="1"/>
    <col min="6921" max="6921" width="53.5703125" customWidth="1"/>
    <col min="6922" max="6922" width="0.42578125" customWidth="1"/>
    <col min="6923" max="6923" width="4.42578125" customWidth="1"/>
    <col min="6929" max="6929" width="10.28515625" customWidth="1"/>
    <col min="6931" max="6931" width="55.85546875" customWidth="1"/>
    <col min="7169" max="7169" width="3.42578125" customWidth="1"/>
    <col min="7175" max="7175" width="10" customWidth="1"/>
    <col min="7176" max="7176" width="6" customWidth="1"/>
    <col min="7177" max="7177" width="53.5703125" customWidth="1"/>
    <col min="7178" max="7178" width="0.42578125" customWidth="1"/>
    <col min="7179" max="7179" width="4.42578125" customWidth="1"/>
    <col min="7185" max="7185" width="10.28515625" customWidth="1"/>
    <col min="7187" max="7187" width="55.85546875" customWidth="1"/>
    <col min="7425" max="7425" width="3.42578125" customWidth="1"/>
    <col min="7431" max="7431" width="10" customWidth="1"/>
    <col min="7432" max="7432" width="6" customWidth="1"/>
    <col min="7433" max="7433" width="53.5703125" customWidth="1"/>
    <col min="7434" max="7434" width="0.42578125" customWidth="1"/>
    <col min="7435" max="7435" width="4.42578125" customWidth="1"/>
    <col min="7441" max="7441" width="10.28515625" customWidth="1"/>
    <col min="7443" max="7443" width="55.85546875" customWidth="1"/>
    <col min="7681" max="7681" width="3.42578125" customWidth="1"/>
    <col min="7687" max="7687" width="10" customWidth="1"/>
    <col min="7688" max="7688" width="6" customWidth="1"/>
    <col min="7689" max="7689" width="53.5703125" customWidth="1"/>
    <col min="7690" max="7690" width="0.42578125" customWidth="1"/>
    <col min="7691" max="7691" width="4.42578125" customWidth="1"/>
    <col min="7697" max="7697" width="10.28515625" customWidth="1"/>
    <col min="7699" max="7699" width="55.85546875" customWidth="1"/>
    <col min="7937" max="7937" width="3.42578125" customWidth="1"/>
    <col min="7943" max="7943" width="10" customWidth="1"/>
    <col min="7944" max="7944" width="6" customWidth="1"/>
    <col min="7945" max="7945" width="53.5703125" customWidth="1"/>
    <col min="7946" max="7946" width="0.42578125" customWidth="1"/>
    <col min="7947" max="7947" width="4.42578125" customWidth="1"/>
    <col min="7953" max="7953" width="10.28515625" customWidth="1"/>
    <col min="7955" max="7955" width="55.85546875" customWidth="1"/>
    <col min="8193" max="8193" width="3.42578125" customWidth="1"/>
    <col min="8199" max="8199" width="10" customWidth="1"/>
    <col min="8200" max="8200" width="6" customWidth="1"/>
    <col min="8201" max="8201" width="53.5703125" customWidth="1"/>
    <col min="8202" max="8202" width="0.42578125" customWidth="1"/>
    <col min="8203" max="8203" width="4.42578125" customWidth="1"/>
    <col min="8209" max="8209" width="10.28515625" customWidth="1"/>
    <col min="8211" max="8211" width="55.85546875" customWidth="1"/>
    <col min="8449" max="8449" width="3.42578125" customWidth="1"/>
    <col min="8455" max="8455" width="10" customWidth="1"/>
    <col min="8456" max="8456" width="6" customWidth="1"/>
    <col min="8457" max="8457" width="53.5703125" customWidth="1"/>
    <col min="8458" max="8458" width="0.42578125" customWidth="1"/>
    <col min="8459" max="8459" width="4.42578125" customWidth="1"/>
    <col min="8465" max="8465" width="10.28515625" customWidth="1"/>
    <col min="8467" max="8467" width="55.85546875" customWidth="1"/>
    <col min="8705" max="8705" width="3.42578125" customWidth="1"/>
    <col min="8711" max="8711" width="10" customWidth="1"/>
    <col min="8712" max="8712" width="6" customWidth="1"/>
    <col min="8713" max="8713" width="53.5703125" customWidth="1"/>
    <col min="8714" max="8714" width="0.42578125" customWidth="1"/>
    <col min="8715" max="8715" width="4.42578125" customWidth="1"/>
    <col min="8721" max="8721" width="10.28515625" customWidth="1"/>
    <col min="8723" max="8723" width="55.85546875" customWidth="1"/>
    <col min="8961" max="8961" width="3.42578125" customWidth="1"/>
    <col min="8967" max="8967" width="10" customWidth="1"/>
    <col min="8968" max="8968" width="6" customWidth="1"/>
    <col min="8969" max="8969" width="53.5703125" customWidth="1"/>
    <col min="8970" max="8970" width="0.42578125" customWidth="1"/>
    <col min="8971" max="8971" width="4.42578125" customWidth="1"/>
    <col min="8977" max="8977" width="10.28515625" customWidth="1"/>
    <col min="8979" max="8979" width="55.85546875" customWidth="1"/>
    <col min="9217" max="9217" width="3.42578125" customWidth="1"/>
    <col min="9223" max="9223" width="10" customWidth="1"/>
    <col min="9224" max="9224" width="6" customWidth="1"/>
    <col min="9225" max="9225" width="53.5703125" customWidth="1"/>
    <col min="9226" max="9226" width="0.42578125" customWidth="1"/>
    <col min="9227" max="9227" width="4.42578125" customWidth="1"/>
    <col min="9233" max="9233" width="10.28515625" customWidth="1"/>
    <col min="9235" max="9235" width="55.85546875" customWidth="1"/>
    <col min="9473" max="9473" width="3.42578125" customWidth="1"/>
    <col min="9479" max="9479" width="10" customWidth="1"/>
    <col min="9480" max="9480" width="6" customWidth="1"/>
    <col min="9481" max="9481" width="53.5703125" customWidth="1"/>
    <col min="9482" max="9482" width="0.42578125" customWidth="1"/>
    <col min="9483" max="9483" width="4.42578125" customWidth="1"/>
    <col min="9489" max="9489" width="10.28515625" customWidth="1"/>
    <col min="9491" max="9491" width="55.85546875" customWidth="1"/>
    <col min="9729" max="9729" width="3.42578125" customWidth="1"/>
    <col min="9735" max="9735" width="10" customWidth="1"/>
    <col min="9736" max="9736" width="6" customWidth="1"/>
    <col min="9737" max="9737" width="53.5703125" customWidth="1"/>
    <col min="9738" max="9738" width="0.42578125" customWidth="1"/>
    <col min="9739" max="9739" width="4.42578125" customWidth="1"/>
    <col min="9745" max="9745" width="10.28515625" customWidth="1"/>
    <col min="9747" max="9747" width="55.85546875" customWidth="1"/>
    <col min="9985" max="9985" width="3.42578125" customWidth="1"/>
    <col min="9991" max="9991" width="10" customWidth="1"/>
    <col min="9992" max="9992" width="6" customWidth="1"/>
    <col min="9993" max="9993" width="53.5703125" customWidth="1"/>
    <col min="9994" max="9994" width="0.42578125" customWidth="1"/>
    <col min="9995" max="9995" width="4.42578125" customWidth="1"/>
    <col min="10001" max="10001" width="10.28515625" customWidth="1"/>
    <col min="10003" max="10003" width="55.85546875" customWidth="1"/>
    <col min="10241" max="10241" width="3.42578125" customWidth="1"/>
    <col min="10247" max="10247" width="10" customWidth="1"/>
    <col min="10248" max="10248" width="6" customWidth="1"/>
    <col min="10249" max="10249" width="53.5703125" customWidth="1"/>
    <col min="10250" max="10250" width="0.42578125" customWidth="1"/>
    <col min="10251" max="10251" width="4.42578125" customWidth="1"/>
    <col min="10257" max="10257" width="10.28515625" customWidth="1"/>
    <col min="10259" max="10259" width="55.85546875" customWidth="1"/>
    <col min="10497" max="10497" width="3.42578125" customWidth="1"/>
    <col min="10503" max="10503" width="10" customWidth="1"/>
    <col min="10504" max="10504" width="6" customWidth="1"/>
    <col min="10505" max="10505" width="53.5703125" customWidth="1"/>
    <col min="10506" max="10506" width="0.42578125" customWidth="1"/>
    <col min="10507" max="10507" width="4.42578125" customWidth="1"/>
    <col min="10513" max="10513" width="10.28515625" customWidth="1"/>
    <col min="10515" max="10515" width="55.85546875" customWidth="1"/>
    <col min="10753" max="10753" width="3.42578125" customWidth="1"/>
    <col min="10759" max="10759" width="10" customWidth="1"/>
    <col min="10760" max="10760" width="6" customWidth="1"/>
    <col min="10761" max="10761" width="53.5703125" customWidth="1"/>
    <col min="10762" max="10762" width="0.42578125" customWidth="1"/>
    <col min="10763" max="10763" width="4.42578125" customWidth="1"/>
    <col min="10769" max="10769" width="10.28515625" customWidth="1"/>
    <col min="10771" max="10771" width="55.85546875" customWidth="1"/>
    <col min="11009" max="11009" width="3.42578125" customWidth="1"/>
    <col min="11015" max="11015" width="10" customWidth="1"/>
    <col min="11016" max="11016" width="6" customWidth="1"/>
    <col min="11017" max="11017" width="53.5703125" customWidth="1"/>
    <col min="11018" max="11018" width="0.42578125" customWidth="1"/>
    <col min="11019" max="11019" width="4.42578125" customWidth="1"/>
    <col min="11025" max="11025" width="10.28515625" customWidth="1"/>
    <col min="11027" max="11027" width="55.85546875" customWidth="1"/>
    <col min="11265" max="11265" width="3.42578125" customWidth="1"/>
    <col min="11271" max="11271" width="10" customWidth="1"/>
    <col min="11272" max="11272" width="6" customWidth="1"/>
    <col min="11273" max="11273" width="53.5703125" customWidth="1"/>
    <col min="11274" max="11274" width="0.42578125" customWidth="1"/>
    <col min="11275" max="11275" width="4.42578125" customWidth="1"/>
    <col min="11281" max="11281" width="10.28515625" customWidth="1"/>
    <col min="11283" max="11283" width="55.85546875" customWidth="1"/>
    <col min="11521" max="11521" width="3.42578125" customWidth="1"/>
    <col min="11527" max="11527" width="10" customWidth="1"/>
    <col min="11528" max="11528" width="6" customWidth="1"/>
    <col min="11529" max="11529" width="53.5703125" customWidth="1"/>
    <col min="11530" max="11530" width="0.42578125" customWidth="1"/>
    <col min="11531" max="11531" width="4.42578125" customWidth="1"/>
    <col min="11537" max="11537" width="10.28515625" customWidth="1"/>
    <col min="11539" max="11539" width="55.85546875" customWidth="1"/>
    <col min="11777" max="11777" width="3.42578125" customWidth="1"/>
    <col min="11783" max="11783" width="10" customWidth="1"/>
    <col min="11784" max="11784" width="6" customWidth="1"/>
    <col min="11785" max="11785" width="53.5703125" customWidth="1"/>
    <col min="11786" max="11786" width="0.42578125" customWidth="1"/>
    <col min="11787" max="11787" width="4.42578125" customWidth="1"/>
    <col min="11793" max="11793" width="10.28515625" customWidth="1"/>
    <col min="11795" max="11795" width="55.85546875" customWidth="1"/>
    <col min="12033" max="12033" width="3.42578125" customWidth="1"/>
    <col min="12039" max="12039" width="10" customWidth="1"/>
    <col min="12040" max="12040" width="6" customWidth="1"/>
    <col min="12041" max="12041" width="53.5703125" customWidth="1"/>
    <col min="12042" max="12042" width="0.42578125" customWidth="1"/>
    <col min="12043" max="12043" width="4.42578125" customWidth="1"/>
    <col min="12049" max="12049" width="10.28515625" customWidth="1"/>
    <col min="12051" max="12051" width="55.85546875" customWidth="1"/>
    <col min="12289" max="12289" width="3.42578125" customWidth="1"/>
    <col min="12295" max="12295" width="10" customWidth="1"/>
    <col min="12296" max="12296" width="6" customWidth="1"/>
    <col min="12297" max="12297" width="53.5703125" customWidth="1"/>
    <col min="12298" max="12298" width="0.42578125" customWidth="1"/>
    <col min="12299" max="12299" width="4.42578125" customWidth="1"/>
    <col min="12305" max="12305" width="10.28515625" customWidth="1"/>
    <col min="12307" max="12307" width="55.85546875" customWidth="1"/>
    <col min="12545" max="12545" width="3.42578125" customWidth="1"/>
    <col min="12551" max="12551" width="10" customWidth="1"/>
    <col min="12552" max="12552" width="6" customWidth="1"/>
    <col min="12553" max="12553" width="53.5703125" customWidth="1"/>
    <col min="12554" max="12554" width="0.42578125" customWidth="1"/>
    <col min="12555" max="12555" width="4.42578125" customWidth="1"/>
    <col min="12561" max="12561" width="10.28515625" customWidth="1"/>
    <col min="12563" max="12563" width="55.85546875" customWidth="1"/>
    <col min="12801" max="12801" width="3.42578125" customWidth="1"/>
    <col min="12807" max="12807" width="10" customWidth="1"/>
    <col min="12808" max="12808" width="6" customWidth="1"/>
    <col min="12809" max="12809" width="53.5703125" customWidth="1"/>
    <col min="12810" max="12810" width="0.42578125" customWidth="1"/>
    <col min="12811" max="12811" width="4.42578125" customWidth="1"/>
    <col min="12817" max="12817" width="10.28515625" customWidth="1"/>
    <col min="12819" max="12819" width="55.85546875" customWidth="1"/>
    <col min="13057" max="13057" width="3.42578125" customWidth="1"/>
    <col min="13063" max="13063" width="10" customWidth="1"/>
    <col min="13064" max="13064" width="6" customWidth="1"/>
    <col min="13065" max="13065" width="53.5703125" customWidth="1"/>
    <col min="13066" max="13066" width="0.42578125" customWidth="1"/>
    <col min="13067" max="13067" width="4.42578125" customWidth="1"/>
    <col min="13073" max="13073" width="10.28515625" customWidth="1"/>
    <col min="13075" max="13075" width="55.85546875" customWidth="1"/>
    <col min="13313" max="13313" width="3.42578125" customWidth="1"/>
    <col min="13319" max="13319" width="10" customWidth="1"/>
    <col min="13320" max="13320" width="6" customWidth="1"/>
    <col min="13321" max="13321" width="53.5703125" customWidth="1"/>
    <col min="13322" max="13322" width="0.42578125" customWidth="1"/>
    <col min="13323" max="13323" width="4.42578125" customWidth="1"/>
    <col min="13329" max="13329" width="10.28515625" customWidth="1"/>
    <col min="13331" max="13331" width="55.85546875" customWidth="1"/>
    <col min="13569" max="13569" width="3.42578125" customWidth="1"/>
    <col min="13575" max="13575" width="10" customWidth="1"/>
    <col min="13576" max="13576" width="6" customWidth="1"/>
    <col min="13577" max="13577" width="53.5703125" customWidth="1"/>
    <col min="13578" max="13578" width="0.42578125" customWidth="1"/>
    <col min="13579" max="13579" width="4.42578125" customWidth="1"/>
    <col min="13585" max="13585" width="10.28515625" customWidth="1"/>
    <col min="13587" max="13587" width="55.85546875" customWidth="1"/>
    <col min="13825" max="13825" width="3.42578125" customWidth="1"/>
    <col min="13831" max="13831" width="10" customWidth="1"/>
    <col min="13832" max="13832" width="6" customWidth="1"/>
    <col min="13833" max="13833" width="53.5703125" customWidth="1"/>
    <col min="13834" max="13834" width="0.42578125" customWidth="1"/>
    <col min="13835" max="13835" width="4.42578125" customWidth="1"/>
    <col min="13841" max="13841" width="10.28515625" customWidth="1"/>
    <col min="13843" max="13843" width="55.85546875" customWidth="1"/>
    <col min="14081" max="14081" width="3.42578125" customWidth="1"/>
    <col min="14087" max="14087" width="10" customWidth="1"/>
    <col min="14088" max="14088" width="6" customWidth="1"/>
    <col min="14089" max="14089" width="53.5703125" customWidth="1"/>
    <col min="14090" max="14090" width="0.42578125" customWidth="1"/>
    <col min="14091" max="14091" width="4.42578125" customWidth="1"/>
    <col min="14097" max="14097" width="10.28515625" customWidth="1"/>
    <col min="14099" max="14099" width="55.85546875" customWidth="1"/>
    <col min="14337" max="14337" width="3.42578125" customWidth="1"/>
    <col min="14343" max="14343" width="10" customWidth="1"/>
    <col min="14344" max="14344" width="6" customWidth="1"/>
    <col min="14345" max="14345" width="53.5703125" customWidth="1"/>
    <col min="14346" max="14346" width="0.42578125" customWidth="1"/>
    <col min="14347" max="14347" width="4.42578125" customWidth="1"/>
    <col min="14353" max="14353" width="10.28515625" customWidth="1"/>
    <col min="14355" max="14355" width="55.85546875" customWidth="1"/>
    <col min="14593" max="14593" width="3.42578125" customWidth="1"/>
    <col min="14599" max="14599" width="10" customWidth="1"/>
    <col min="14600" max="14600" width="6" customWidth="1"/>
    <col min="14601" max="14601" width="53.5703125" customWidth="1"/>
    <col min="14602" max="14602" width="0.42578125" customWidth="1"/>
    <col min="14603" max="14603" width="4.42578125" customWidth="1"/>
    <col min="14609" max="14609" width="10.28515625" customWidth="1"/>
    <col min="14611" max="14611" width="55.85546875" customWidth="1"/>
    <col min="14849" max="14849" width="3.42578125" customWidth="1"/>
    <col min="14855" max="14855" width="10" customWidth="1"/>
    <col min="14856" max="14856" width="6" customWidth="1"/>
    <col min="14857" max="14857" width="53.5703125" customWidth="1"/>
    <col min="14858" max="14858" width="0.42578125" customWidth="1"/>
    <col min="14859" max="14859" width="4.42578125" customWidth="1"/>
    <col min="14865" max="14865" width="10.28515625" customWidth="1"/>
    <col min="14867" max="14867" width="55.85546875" customWidth="1"/>
    <col min="15105" max="15105" width="3.42578125" customWidth="1"/>
    <col min="15111" max="15111" width="10" customWidth="1"/>
    <col min="15112" max="15112" width="6" customWidth="1"/>
    <col min="15113" max="15113" width="53.5703125" customWidth="1"/>
    <col min="15114" max="15114" width="0.42578125" customWidth="1"/>
    <col min="15115" max="15115" width="4.42578125" customWidth="1"/>
    <col min="15121" max="15121" width="10.28515625" customWidth="1"/>
    <col min="15123" max="15123" width="55.85546875" customWidth="1"/>
    <col min="15361" max="15361" width="3.42578125" customWidth="1"/>
    <col min="15367" max="15367" width="10" customWidth="1"/>
    <col min="15368" max="15368" width="6" customWidth="1"/>
    <col min="15369" max="15369" width="53.5703125" customWidth="1"/>
    <col min="15370" max="15370" width="0.42578125" customWidth="1"/>
    <col min="15371" max="15371" width="4.42578125" customWidth="1"/>
    <col min="15377" max="15377" width="10.28515625" customWidth="1"/>
    <col min="15379" max="15379" width="55.85546875" customWidth="1"/>
    <col min="15617" max="15617" width="3.42578125" customWidth="1"/>
    <col min="15623" max="15623" width="10" customWidth="1"/>
    <col min="15624" max="15624" width="6" customWidth="1"/>
    <col min="15625" max="15625" width="53.5703125" customWidth="1"/>
    <col min="15626" max="15626" width="0.42578125" customWidth="1"/>
    <col min="15627" max="15627" width="4.42578125" customWidth="1"/>
    <col min="15633" max="15633" width="10.28515625" customWidth="1"/>
    <col min="15635" max="15635" width="55.85546875" customWidth="1"/>
    <col min="15873" max="15873" width="3.42578125" customWidth="1"/>
    <col min="15879" max="15879" width="10" customWidth="1"/>
    <col min="15880" max="15880" width="6" customWidth="1"/>
    <col min="15881" max="15881" width="53.5703125" customWidth="1"/>
    <col min="15882" max="15882" width="0.42578125" customWidth="1"/>
    <col min="15883" max="15883" width="4.42578125" customWidth="1"/>
    <col min="15889" max="15889" width="10.28515625" customWidth="1"/>
    <col min="15891" max="15891" width="55.85546875" customWidth="1"/>
    <col min="16129" max="16129" width="3.42578125" customWidth="1"/>
    <col min="16135" max="16135" width="10" customWidth="1"/>
    <col min="16136" max="16136" width="6" customWidth="1"/>
    <col min="16137" max="16137" width="53.5703125" customWidth="1"/>
    <col min="16138" max="16138" width="0.42578125" customWidth="1"/>
    <col min="16139" max="16139" width="4.42578125" customWidth="1"/>
    <col min="16145" max="16145" width="10.28515625" customWidth="1"/>
    <col min="16147" max="16147" width="55.8554687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320</v>
      </c>
      <c r="E2" s="3"/>
      <c r="F2" s="3"/>
      <c r="G2" s="3"/>
      <c r="H2" s="3"/>
      <c r="I2" s="3"/>
      <c r="K2" s="3" t="s">
        <v>205</v>
      </c>
      <c r="L2" s="3"/>
      <c r="M2" s="3"/>
      <c r="N2" s="3" t="s">
        <v>321</v>
      </c>
      <c r="O2" s="3"/>
      <c r="P2" s="3"/>
      <c r="Q2" s="3"/>
      <c r="R2" s="3"/>
      <c r="S2" s="3"/>
    </row>
    <row r="3" spans="1:19"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v>11782.3</v>
      </c>
      <c r="G4" s="3" t="s">
        <v>207</v>
      </c>
      <c r="H4" s="65"/>
      <c r="I4" s="3"/>
      <c r="J4" s="3"/>
      <c r="K4" s="3"/>
      <c r="L4" s="5" t="s">
        <v>206</v>
      </c>
      <c r="M4" s="3"/>
      <c r="N4" s="3"/>
      <c r="O4" s="3"/>
      <c r="P4" s="3">
        <v>6345.3</v>
      </c>
      <c r="Q4" s="3" t="s">
        <v>207</v>
      </c>
      <c r="R4" s="3"/>
      <c r="S4" s="3"/>
    </row>
    <row r="5" spans="1:19" ht="15" customHeight="1" x14ac:dyDescent="0.25">
      <c r="A5" s="175" t="s">
        <v>209</v>
      </c>
      <c r="B5" s="177" t="s">
        <v>210</v>
      </c>
      <c r="C5" s="178"/>
      <c r="D5" s="178"/>
      <c r="E5" s="178"/>
      <c r="F5" s="178"/>
      <c r="G5" s="180" t="s">
        <v>442</v>
      </c>
      <c r="H5" s="181"/>
      <c r="I5" s="175" t="s">
        <v>212</v>
      </c>
      <c r="J5" s="31"/>
      <c r="K5" s="175" t="s">
        <v>209</v>
      </c>
      <c r="L5" s="177" t="s">
        <v>210</v>
      </c>
      <c r="M5" s="178"/>
      <c r="N5" s="178"/>
      <c r="O5" s="178"/>
      <c r="P5" s="178"/>
      <c r="Q5" s="180" t="s">
        <v>442</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267425.49</v>
      </c>
      <c r="H7" s="191"/>
      <c r="I7" s="192"/>
      <c r="J7" s="33"/>
      <c r="K7" s="185" t="s">
        <v>213</v>
      </c>
      <c r="L7" s="187" t="s">
        <v>354</v>
      </c>
      <c r="M7" s="188"/>
      <c r="N7" s="188"/>
      <c r="O7" s="188"/>
      <c r="P7" s="188"/>
      <c r="Q7" s="190">
        <v>146361.79999999999</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1.74*12*F4</f>
        <v>246014.42399999997</v>
      </c>
      <c r="H9" s="164"/>
      <c r="I9" s="169" t="s">
        <v>215</v>
      </c>
      <c r="J9" s="35"/>
      <c r="K9" s="6"/>
      <c r="L9" s="161" t="s">
        <v>214</v>
      </c>
      <c r="M9" s="162"/>
      <c r="N9" s="162"/>
      <c r="O9" s="162"/>
      <c r="P9" s="162"/>
      <c r="Q9" s="163">
        <f>1.5*12*P4</f>
        <v>114215.40000000001</v>
      </c>
      <c r="R9" s="164"/>
      <c r="S9" s="169" t="s">
        <v>215</v>
      </c>
    </row>
    <row r="10" spans="1:19" ht="31.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8" customHeight="1" thickBot="1" x14ac:dyDescent="0.3">
      <c r="A12" s="7"/>
      <c r="B12" s="141" t="s">
        <v>219</v>
      </c>
      <c r="C12" s="142"/>
      <c r="D12" s="142"/>
      <c r="E12" s="142"/>
      <c r="F12" s="142"/>
      <c r="G12" s="143">
        <f>1748.85*12*6</f>
        <v>125917.19999999998</v>
      </c>
      <c r="H12" s="144"/>
      <c r="I12" s="8" t="s">
        <v>220</v>
      </c>
      <c r="J12" s="37"/>
      <c r="K12" s="7"/>
      <c r="L12" s="141" t="s">
        <v>219</v>
      </c>
      <c r="M12" s="142"/>
      <c r="N12" s="142"/>
      <c r="O12" s="142"/>
      <c r="P12" s="142"/>
      <c r="Q12" s="143">
        <f>1748.85*12*3</f>
        <v>62958.599999999991</v>
      </c>
      <c r="R12" s="144"/>
      <c r="S12" s="8" t="s">
        <v>220</v>
      </c>
    </row>
    <row r="13" spans="1:19" ht="18" customHeight="1" thickBot="1" x14ac:dyDescent="0.3">
      <c r="A13" s="7"/>
      <c r="B13" s="141" t="s">
        <v>221</v>
      </c>
      <c r="C13" s="142"/>
      <c r="D13" s="142"/>
      <c r="E13" s="142"/>
      <c r="F13" s="142"/>
      <c r="G13" s="143">
        <f>0.474*12*F4</f>
        <v>67017.722399999999</v>
      </c>
      <c r="H13" s="144"/>
      <c r="I13" s="8" t="s">
        <v>222</v>
      </c>
      <c r="J13" s="38"/>
      <c r="K13" s="7"/>
      <c r="L13" s="141" t="s">
        <v>221</v>
      </c>
      <c r="M13" s="142"/>
      <c r="N13" s="142"/>
      <c r="O13" s="142"/>
      <c r="P13" s="142"/>
      <c r="Q13" s="143">
        <f>0.474*12*P4</f>
        <v>36092.066399999996</v>
      </c>
      <c r="R13" s="144"/>
      <c r="S13" s="8" t="s">
        <v>222</v>
      </c>
    </row>
    <row r="14" spans="1:19" ht="13.5" customHeight="1" x14ac:dyDescent="0.25">
      <c r="A14" s="9"/>
      <c r="B14" s="145" t="s">
        <v>223</v>
      </c>
      <c r="C14" s="146"/>
      <c r="D14" s="146"/>
      <c r="E14" s="146"/>
      <c r="F14" s="146"/>
      <c r="G14" s="86">
        <f>1.99*12*F4</f>
        <v>281361.32399999996</v>
      </c>
      <c r="H14" s="147"/>
      <c r="I14" s="152" t="s">
        <v>224</v>
      </c>
      <c r="J14" s="38"/>
      <c r="K14" s="9"/>
      <c r="L14" s="145" t="s">
        <v>223</v>
      </c>
      <c r="M14" s="146"/>
      <c r="N14" s="146"/>
      <c r="O14" s="146"/>
      <c r="P14" s="146"/>
      <c r="Q14" s="86">
        <f>1.74*12*P4</f>
        <v>132489.864</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0.048*12*F4</f>
        <v>6786.6048000000001</v>
      </c>
      <c r="H18" s="87"/>
      <c r="I18" s="129" t="s">
        <v>220</v>
      </c>
      <c r="J18" s="36"/>
      <c r="K18" s="12"/>
      <c r="L18" s="125" t="s">
        <v>230</v>
      </c>
      <c r="M18" s="126"/>
      <c r="N18" s="126"/>
      <c r="O18" s="126"/>
      <c r="P18" s="126"/>
      <c r="Q18" s="86">
        <f>0.048*12*P4</f>
        <v>3654.8928000000005</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5.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38.25" customHeight="1" thickBot="1" x14ac:dyDescent="0.3">
      <c r="A21" s="13"/>
      <c r="B21" s="84" t="s">
        <v>233</v>
      </c>
      <c r="C21" s="85"/>
      <c r="D21" s="85"/>
      <c r="E21" s="85"/>
      <c r="F21" s="85"/>
      <c r="G21" s="86">
        <f>1.2*12*F4</f>
        <v>169665.11999999997</v>
      </c>
      <c r="H21" s="87"/>
      <c r="I21" s="299" t="s">
        <v>538</v>
      </c>
      <c r="J21" s="41"/>
      <c r="K21" s="13"/>
      <c r="L21" s="84" t="s">
        <v>233</v>
      </c>
      <c r="M21" s="85"/>
      <c r="N21" s="85"/>
      <c r="O21" s="85"/>
      <c r="P21" s="85"/>
      <c r="Q21" s="86">
        <f>1.17*12*P4</f>
        <v>89088.012000000002</v>
      </c>
      <c r="R21" s="87"/>
      <c r="S21" s="299" t="s">
        <v>540</v>
      </c>
    </row>
    <row r="22" spans="1:19" ht="36.75" customHeight="1" x14ac:dyDescent="0.25">
      <c r="A22" s="118"/>
      <c r="B22" s="121" t="s">
        <v>226</v>
      </c>
      <c r="C22" s="122"/>
      <c r="D22" s="122"/>
      <c r="E22" s="122"/>
      <c r="F22" s="122"/>
      <c r="G22" s="88"/>
      <c r="H22" s="89"/>
      <c r="I22" s="300"/>
      <c r="J22" s="41"/>
      <c r="K22" s="118"/>
      <c r="L22" s="121" t="s">
        <v>226</v>
      </c>
      <c r="M22" s="122"/>
      <c r="N22" s="122"/>
      <c r="O22" s="122"/>
      <c r="P22" s="122"/>
      <c r="Q22" s="88"/>
      <c r="R22" s="89"/>
      <c r="S22" s="300"/>
    </row>
    <row r="23" spans="1:19" ht="32.25" customHeight="1" x14ac:dyDescent="0.25">
      <c r="A23" s="119"/>
      <c r="B23" s="121" t="s">
        <v>227</v>
      </c>
      <c r="C23" s="122"/>
      <c r="D23" s="122"/>
      <c r="E23" s="122"/>
      <c r="F23" s="122"/>
      <c r="G23" s="88"/>
      <c r="H23" s="89"/>
      <c r="I23" s="300"/>
      <c r="J23" s="42"/>
      <c r="K23" s="119"/>
      <c r="L23" s="121" t="s">
        <v>227</v>
      </c>
      <c r="M23" s="122"/>
      <c r="N23" s="122"/>
      <c r="O23" s="122"/>
      <c r="P23" s="122"/>
      <c r="Q23" s="88"/>
      <c r="R23" s="89"/>
      <c r="S23" s="300"/>
    </row>
    <row r="24" spans="1:19" ht="31.5" customHeight="1" x14ac:dyDescent="0.25">
      <c r="A24" s="119"/>
      <c r="B24" s="121" t="s">
        <v>228</v>
      </c>
      <c r="C24" s="122"/>
      <c r="D24" s="122"/>
      <c r="E24" s="122"/>
      <c r="F24" s="122"/>
      <c r="G24" s="88"/>
      <c r="H24" s="89"/>
      <c r="I24" s="300"/>
      <c r="J24" s="43"/>
      <c r="K24" s="119"/>
      <c r="L24" s="121" t="s">
        <v>228</v>
      </c>
      <c r="M24" s="122"/>
      <c r="N24" s="122"/>
      <c r="O24" s="122"/>
      <c r="P24" s="122"/>
      <c r="Q24" s="88"/>
      <c r="R24" s="89"/>
      <c r="S24" s="300"/>
    </row>
    <row r="25" spans="1:19" ht="65.25" customHeight="1" thickBot="1" x14ac:dyDescent="0.3">
      <c r="A25" s="120"/>
      <c r="B25" s="123" t="s">
        <v>234</v>
      </c>
      <c r="C25" s="124"/>
      <c r="D25" s="124"/>
      <c r="E25" s="124"/>
      <c r="F25" s="124"/>
      <c r="G25" s="90"/>
      <c r="H25" s="91"/>
      <c r="I25" s="301"/>
      <c r="J25" s="44"/>
      <c r="K25" s="120"/>
      <c r="L25" s="123" t="s">
        <v>234</v>
      </c>
      <c r="M25" s="124"/>
      <c r="N25" s="124"/>
      <c r="O25" s="124"/>
      <c r="P25" s="124"/>
      <c r="Q25" s="90"/>
      <c r="R25" s="91"/>
      <c r="S25" s="301"/>
    </row>
    <row r="26" spans="1:19" ht="1.5" customHeight="1" thickBot="1" x14ac:dyDescent="0.3">
      <c r="A26" s="15"/>
      <c r="B26" s="137"/>
      <c r="C26" s="138"/>
      <c r="D26" s="138"/>
      <c r="E26" s="138"/>
      <c r="F26" s="138"/>
      <c r="G26" s="139"/>
      <c r="H26" s="140"/>
      <c r="I26" s="16"/>
      <c r="J26" s="40"/>
      <c r="K26" s="15"/>
      <c r="L26" s="137"/>
      <c r="M26" s="138"/>
      <c r="N26" s="138"/>
      <c r="O26" s="138"/>
      <c r="P26" s="138"/>
      <c r="Q26" s="139"/>
      <c r="R26" s="140"/>
      <c r="S26" s="16"/>
    </row>
    <row r="27" spans="1:19" ht="27" hidden="1" customHeight="1" x14ac:dyDescent="0.25">
      <c r="A27" s="15"/>
      <c r="B27" s="137" t="s">
        <v>235</v>
      </c>
      <c r="C27" s="138"/>
      <c r="D27" s="138"/>
      <c r="E27" s="138"/>
      <c r="F27" s="138"/>
      <c r="G27" s="139"/>
      <c r="H27" s="140"/>
      <c r="I27" s="16"/>
      <c r="J27" s="45"/>
      <c r="K27" s="15"/>
      <c r="L27" s="137" t="s">
        <v>235</v>
      </c>
      <c r="M27" s="138"/>
      <c r="N27" s="138"/>
      <c r="O27" s="138"/>
      <c r="P27" s="138"/>
      <c r="Q27" s="139"/>
      <c r="R27" s="140"/>
      <c r="S27" s="16"/>
    </row>
    <row r="28" spans="1:19" ht="29.25" customHeight="1" thickBot="1" x14ac:dyDescent="0.3">
      <c r="A28" s="17"/>
      <c r="B28" s="78" t="s">
        <v>237</v>
      </c>
      <c r="C28" s="79"/>
      <c r="D28" s="79"/>
      <c r="E28" s="79"/>
      <c r="F28" s="79"/>
      <c r="G28" s="86">
        <f>30561+36250</f>
        <v>66811</v>
      </c>
      <c r="H28" s="87"/>
      <c r="I28" s="108" t="s">
        <v>229</v>
      </c>
      <c r="J28" s="41"/>
      <c r="K28" s="17"/>
      <c r="L28" s="78" t="s">
        <v>237</v>
      </c>
      <c r="M28" s="79"/>
      <c r="N28" s="79"/>
      <c r="O28" s="79"/>
      <c r="P28" s="79"/>
      <c r="Q28" s="86">
        <f>13591+19544</f>
        <v>33135</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963573.39519999991</v>
      </c>
      <c r="H30" s="115"/>
      <c r="I30" s="20"/>
      <c r="J30" s="47"/>
      <c r="K30" s="19"/>
      <c r="L30" s="112" t="s">
        <v>239</v>
      </c>
      <c r="M30" s="113"/>
      <c r="N30" s="113"/>
      <c r="O30" s="113"/>
      <c r="P30" s="113"/>
      <c r="Q30" s="114">
        <f>SUM(Q9:R29)</f>
        <v>471633.83519999997</v>
      </c>
      <c r="R30" s="115"/>
      <c r="S30" s="20"/>
    </row>
    <row r="31" spans="1:19" ht="26.25" customHeight="1" thickBot="1" x14ac:dyDescent="0.3">
      <c r="A31" s="21"/>
      <c r="B31" s="101" t="s">
        <v>240</v>
      </c>
      <c r="C31" s="102"/>
      <c r="D31" s="102"/>
      <c r="E31" s="102"/>
      <c r="F31" s="102"/>
      <c r="G31" s="116">
        <f>G30*1.2</f>
        <v>1156288.0742399998</v>
      </c>
      <c r="H31" s="117"/>
      <c r="I31" s="22"/>
      <c r="J31" s="47"/>
      <c r="K31" s="21"/>
      <c r="L31" s="101" t="s">
        <v>240</v>
      </c>
      <c r="M31" s="102"/>
      <c r="N31" s="102"/>
      <c r="O31" s="102"/>
      <c r="P31" s="102"/>
      <c r="Q31" s="116">
        <f>Q30*1.2</f>
        <v>565960.60223999992</v>
      </c>
      <c r="R31" s="117"/>
      <c r="S31" s="22"/>
    </row>
    <row r="32" spans="1:19" ht="26.25" customHeight="1" thickBot="1" x14ac:dyDescent="0.3">
      <c r="A32" s="24"/>
      <c r="B32" s="96" t="s">
        <v>443</v>
      </c>
      <c r="C32" s="97"/>
      <c r="D32" s="97"/>
      <c r="E32" s="97"/>
      <c r="F32" s="97"/>
      <c r="G32" s="311">
        <v>1164210.68</v>
      </c>
      <c r="H32" s="312"/>
      <c r="I32" s="313"/>
      <c r="J32" s="47"/>
      <c r="K32" s="24"/>
      <c r="L32" s="96" t="s">
        <v>443</v>
      </c>
      <c r="M32" s="97"/>
      <c r="N32" s="97"/>
      <c r="O32" s="97"/>
      <c r="P32" s="97"/>
      <c r="Q32" s="311">
        <v>565424.03</v>
      </c>
      <c r="R32" s="312"/>
      <c r="S32" s="313"/>
    </row>
    <row r="33" spans="1:19" ht="26.25" customHeight="1" thickBot="1" x14ac:dyDescent="0.3">
      <c r="A33" s="19"/>
      <c r="B33" s="101" t="s">
        <v>242</v>
      </c>
      <c r="C33" s="102"/>
      <c r="D33" s="102"/>
      <c r="E33" s="102"/>
      <c r="F33" s="102"/>
      <c r="G33" s="307">
        <v>1187883.1599999999</v>
      </c>
      <c r="H33" s="308"/>
      <c r="I33" s="309"/>
      <c r="J33" s="48"/>
      <c r="K33" s="19"/>
      <c r="L33" s="101" t="s">
        <v>242</v>
      </c>
      <c r="M33" s="102"/>
      <c r="N33" s="102"/>
      <c r="O33" s="102"/>
      <c r="P33" s="102"/>
      <c r="Q33" s="307">
        <v>551915.36</v>
      </c>
      <c r="R33" s="308"/>
      <c r="S33" s="309"/>
    </row>
    <row r="34" spans="1:19" ht="26.25" customHeight="1" thickBot="1" x14ac:dyDescent="0.3">
      <c r="A34" s="19"/>
      <c r="B34" s="106" t="s">
        <v>444</v>
      </c>
      <c r="C34" s="107"/>
      <c r="D34" s="107"/>
      <c r="E34" s="107"/>
      <c r="F34" s="107"/>
      <c r="G34" s="307">
        <v>243753.01</v>
      </c>
      <c r="H34" s="308"/>
      <c r="I34" s="309"/>
      <c r="J34" s="49"/>
      <c r="K34" s="19"/>
      <c r="L34" s="106" t="s">
        <v>444</v>
      </c>
      <c r="M34" s="107"/>
      <c r="N34" s="107"/>
      <c r="O34" s="107"/>
      <c r="P34" s="107"/>
      <c r="Q34" s="307">
        <v>159870.47</v>
      </c>
      <c r="R34" s="308"/>
      <c r="S34" s="309"/>
    </row>
    <row r="35" spans="1:19" ht="26.25" customHeight="1" x14ac:dyDescent="0.25">
      <c r="A35" s="4"/>
      <c r="B35" s="195" t="s">
        <v>537</v>
      </c>
      <c r="C35" s="195"/>
      <c r="D35" s="195"/>
      <c r="E35" s="195"/>
      <c r="F35" s="195"/>
      <c r="G35" s="195"/>
      <c r="H35" s="195"/>
      <c r="I35" s="195"/>
      <c r="K35" s="4"/>
      <c r="L35" s="195" t="s">
        <v>539</v>
      </c>
      <c r="M35" s="195"/>
      <c r="N35" s="195"/>
      <c r="O35" s="195"/>
      <c r="P35" s="195"/>
      <c r="Q35" s="195"/>
      <c r="R35" s="195"/>
      <c r="S35" s="195"/>
    </row>
    <row r="36" spans="1:19" x14ac:dyDescent="0.25">
      <c r="E36" s="50"/>
      <c r="I36" s="5"/>
      <c r="O36" s="50"/>
      <c r="S36" s="5"/>
    </row>
    <row r="37" spans="1:19" x14ac:dyDescent="0.25">
      <c r="A37" s="3"/>
      <c r="I37" s="5"/>
      <c r="K37" s="3"/>
      <c r="S37" s="5"/>
    </row>
    <row r="38" spans="1:19" ht="15.75" x14ac:dyDescent="0.25">
      <c r="A38" s="30"/>
      <c r="C38" s="30"/>
      <c r="K38" s="30"/>
      <c r="N38" s="30"/>
    </row>
    <row r="39" spans="1:19" ht="15.75" x14ac:dyDescent="0.25">
      <c r="A39" s="30"/>
      <c r="C39" s="30"/>
      <c r="K39" s="30"/>
      <c r="N39" s="30"/>
    </row>
    <row r="40" spans="1:19" x14ac:dyDescent="0.25">
      <c r="A40" s="3"/>
      <c r="B40" s="3"/>
      <c r="C40" s="3"/>
      <c r="D40" s="3"/>
      <c r="E40" s="4" t="s">
        <v>204</v>
      </c>
      <c r="F40" s="3"/>
      <c r="G40" s="3"/>
      <c r="H40" s="3"/>
      <c r="I40" s="3"/>
      <c r="K40" s="3"/>
      <c r="L40" s="3"/>
      <c r="M40" s="3"/>
      <c r="N40" s="3"/>
      <c r="O40" s="4" t="s">
        <v>204</v>
      </c>
      <c r="P40" s="3"/>
      <c r="Q40" s="3"/>
      <c r="R40" s="3"/>
      <c r="S40" s="3"/>
    </row>
    <row r="41" spans="1:19" x14ac:dyDescent="0.25">
      <c r="A41" s="3" t="s">
        <v>205</v>
      </c>
      <c r="B41" s="3"/>
      <c r="C41" s="3"/>
      <c r="D41" s="3" t="s">
        <v>322</v>
      </c>
      <c r="E41" s="3"/>
      <c r="F41" s="3"/>
      <c r="G41" s="3"/>
      <c r="H41" s="3"/>
      <c r="I41" s="3"/>
      <c r="K41" s="3" t="s">
        <v>205</v>
      </c>
      <c r="L41" s="3"/>
      <c r="M41" s="3"/>
      <c r="N41" s="3" t="s">
        <v>323</v>
      </c>
      <c r="O41" s="3"/>
      <c r="P41" s="3"/>
      <c r="Q41" s="3"/>
      <c r="R41" s="3"/>
      <c r="S41" s="3"/>
    </row>
    <row r="42" spans="1:19" x14ac:dyDescent="0.25">
      <c r="A42" s="3"/>
      <c r="B42" s="5" t="s">
        <v>440</v>
      </c>
      <c r="C42" s="3"/>
      <c r="D42" s="3"/>
      <c r="E42" s="3"/>
      <c r="F42" s="3"/>
      <c r="G42" s="3"/>
      <c r="H42" s="3"/>
      <c r="I42" s="3"/>
      <c r="J42" s="3"/>
      <c r="K42" s="3"/>
      <c r="L42" s="5" t="s">
        <v>440</v>
      </c>
      <c r="M42" s="3"/>
      <c r="N42" s="3"/>
      <c r="O42" s="3"/>
      <c r="P42" s="3"/>
      <c r="Q42" s="3"/>
      <c r="R42" s="3"/>
      <c r="S42" s="3"/>
    </row>
    <row r="43" spans="1:19" ht="15.75" thickBot="1" x14ac:dyDescent="0.3">
      <c r="A43" s="3"/>
      <c r="B43" s="5" t="s">
        <v>206</v>
      </c>
      <c r="C43" s="3"/>
      <c r="D43" s="3"/>
      <c r="E43" s="3"/>
      <c r="F43" s="3">
        <v>8081.7</v>
      </c>
      <c r="G43" s="3" t="s">
        <v>207</v>
      </c>
      <c r="H43" s="3"/>
      <c r="I43" s="3"/>
      <c r="J43" s="3"/>
      <c r="K43" s="3"/>
      <c r="L43" s="5" t="s">
        <v>206</v>
      </c>
      <c r="M43" s="3"/>
      <c r="N43" s="3"/>
      <c r="O43" s="3"/>
      <c r="P43" s="3">
        <v>8200.7999999999993</v>
      </c>
      <c r="Q43" s="3" t="s">
        <v>207</v>
      </c>
      <c r="R43" s="65"/>
      <c r="S43" s="3"/>
    </row>
    <row r="44" spans="1:19" ht="15" customHeight="1" x14ac:dyDescent="0.25">
      <c r="A44" s="175" t="s">
        <v>209</v>
      </c>
      <c r="B44" s="177" t="s">
        <v>210</v>
      </c>
      <c r="C44" s="178"/>
      <c r="D44" s="178"/>
      <c r="E44" s="178"/>
      <c r="F44" s="178"/>
      <c r="G44" s="180" t="s">
        <v>442</v>
      </c>
      <c r="H44" s="181"/>
      <c r="I44" s="175" t="s">
        <v>212</v>
      </c>
      <c r="J44" s="51"/>
      <c r="K44" s="175" t="s">
        <v>209</v>
      </c>
      <c r="L44" s="177" t="s">
        <v>210</v>
      </c>
      <c r="M44" s="178"/>
      <c r="N44" s="178"/>
      <c r="O44" s="178"/>
      <c r="P44" s="178"/>
      <c r="Q44" s="180" t="s">
        <v>442</v>
      </c>
      <c r="R44" s="181"/>
      <c r="S44" s="175" t="s">
        <v>212</v>
      </c>
    </row>
    <row r="45" spans="1:19" ht="69" customHeight="1" thickBot="1" x14ac:dyDescent="0.3">
      <c r="A45" s="176"/>
      <c r="B45" s="179"/>
      <c r="C45" s="179"/>
      <c r="D45" s="179"/>
      <c r="E45" s="179"/>
      <c r="F45" s="179"/>
      <c r="G45" s="182"/>
      <c r="H45" s="183"/>
      <c r="I45" s="184"/>
      <c r="J45" s="52"/>
      <c r="K45" s="176"/>
      <c r="L45" s="179"/>
      <c r="M45" s="179"/>
      <c r="N45" s="179"/>
      <c r="O45" s="179"/>
      <c r="P45" s="179"/>
      <c r="Q45" s="182"/>
      <c r="R45" s="183"/>
      <c r="S45" s="184"/>
    </row>
    <row r="46" spans="1:19" ht="15" customHeight="1" x14ac:dyDescent="0.25">
      <c r="A46" s="185" t="s">
        <v>213</v>
      </c>
      <c r="B46" s="187" t="s">
        <v>354</v>
      </c>
      <c r="C46" s="188"/>
      <c r="D46" s="188"/>
      <c r="E46" s="188"/>
      <c r="F46" s="188"/>
      <c r="G46" s="190">
        <v>67275.44</v>
      </c>
      <c r="H46" s="191"/>
      <c r="I46" s="192"/>
      <c r="J46" s="53"/>
      <c r="K46" s="185" t="s">
        <v>213</v>
      </c>
      <c r="L46" s="187" t="s">
        <v>354</v>
      </c>
      <c r="M46" s="188"/>
      <c r="N46" s="188"/>
      <c r="O46" s="188"/>
      <c r="P46" s="188"/>
      <c r="Q46" s="190">
        <v>116085.54</v>
      </c>
      <c r="R46" s="191"/>
      <c r="S46" s="192"/>
    </row>
    <row r="47" spans="1:19" ht="7.5" customHeight="1" thickBot="1" x14ac:dyDescent="0.3">
      <c r="A47" s="186"/>
      <c r="B47" s="189"/>
      <c r="C47" s="189"/>
      <c r="D47" s="189"/>
      <c r="E47" s="189"/>
      <c r="F47" s="189"/>
      <c r="G47" s="193"/>
      <c r="H47" s="194"/>
      <c r="I47" s="128"/>
      <c r="J47" s="54"/>
      <c r="K47" s="186"/>
      <c r="L47" s="189"/>
      <c r="M47" s="189"/>
      <c r="N47" s="189"/>
      <c r="O47" s="189"/>
      <c r="P47" s="189"/>
      <c r="Q47" s="193"/>
      <c r="R47" s="194"/>
      <c r="S47" s="128"/>
    </row>
    <row r="48" spans="1:19" ht="17.25" customHeight="1" x14ac:dyDescent="0.25">
      <c r="A48" s="6"/>
      <c r="B48" s="161" t="s">
        <v>214</v>
      </c>
      <c r="C48" s="162"/>
      <c r="D48" s="162"/>
      <c r="E48" s="162"/>
      <c r="F48" s="162"/>
      <c r="G48" s="163">
        <f>1.3*12*F43</f>
        <v>126074.52</v>
      </c>
      <c r="H48" s="164"/>
      <c r="I48" s="169" t="s">
        <v>215</v>
      </c>
      <c r="J48" s="42"/>
      <c r="K48" s="6"/>
      <c r="L48" s="161" t="s">
        <v>214</v>
      </c>
      <c r="M48" s="162"/>
      <c r="N48" s="162"/>
      <c r="O48" s="162"/>
      <c r="P48" s="162"/>
      <c r="Q48" s="163">
        <f>1.3*12*P43</f>
        <v>127932.48</v>
      </c>
      <c r="R48" s="164"/>
      <c r="S48" s="169" t="s">
        <v>215</v>
      </c>
    </row>
    <row r="49" spans="1:19" ht="33.75" customHeight="1" thickBot="1" x14ac:dyDescent="0.3">
      <c r="A49" s="7"/>
      <c r="B49" s="171" t="s">
        <v>216</v>
      </c>
      <c r="C49" s="172"/>
      <c r="D49" s="172"/>
      <c r="E49" s="172"/>
      <c r="F49" s="172"/>
      <c r="G49" s="165"/>
      <c r="H49" s="166"/>
      <c r="I49" s="170"/>
      <c r="J49" s="43"/>
      <c r="K49" s="7"/>
      <c r="L49" s="171" t="s">
        <v>216</v>
      </c>
      <c r="M49" s="172"/>
      <c r="N49" s="172"/>
      <c r="O49" s="172"/>
      <c r="P49" s="172"/>
      <c r="Q49" s="165"/>
      <c r="R49" s="166"/>
      <c r="S49" s="170"/>
    </row>
    <row r="50" spans="1:19" ht="13.5" customHeight="1" thickBot="1" x14ac:dyDescent="0.3">
      <c r="A50" s="7"/>
      <c r="B50" s="173" t="s">
        <v>217</v>
      </c>
      <c r="C50" s="174"/>
      <c r="D50" s="174"/>
      <c r="E50" s="174"/>
      <c r="F50" s="174"/>
      <c r="G50" s="167"/>
      <c r="H50" s="168"/>
      <c r="I50" s="8" t="s">
        <v>218</v>
      </c>
      <c r="J50" s="43"/>
      <c r="K50" s="7"/>
      <c r="L50" s="173" t="s">
        <v>217</v>
      </c>
      <c r="M50" s="174"/>
      <c r="N50" s="174"/>
      <c r="O50" s="174"/>
      <c r="P50" s="174"/>
      <c r="Q50" s="167"/>
      <c r="R50" s="168"/>
      <c r="S50" s="8" t="s">
        <v>218</v>
      </c>
    </row>
    <row r="51" spans="1:19" ht="20.25" customHeight="1" thickBot="1" x14ac:dyDescent="0.3">
      <c r="A51" s="7"/>
      <c r="B51" s="141" t="s">
        <v>219</v>
      </c>
      <c r="C51" s="142"/>
      <c r="D51" s="142"/>
      <c r="E51" s="142"/>
      <c r="F51" s="142"/>
      <c r="G51" s="143">
        <f>1748.85*12*4</f>
        <v>83944.799999999988</v>
      </c>
      <c r="H51" s="144"/>
      <c r="I51" s="8" t="s">
        <v>220</v>
      </c>
      <c r="J51" s="55"/>
      <c r="K51" s="7"/>
      <c r="L51" s="141" t="s">
        <v>219</v>
      </c>
      <c r="M51" s="142"/>
      <c r="N51" s="142"/>
      <c r="O51" s="142"/>
      <c r="P51" s="142"/>
      <c r="Q51" s="143">
        <f>1748.85*12*4</f>
        <v>83944.799999999988</v>
      </c>
      <c r="R51" s="144"/>
      <c r="S51" s="8" t="s">
        <v>220</v>
      </c>
    </row>
    <row r="52" spans="1:19" ht="20.25" customHeight="1" thickBot="1" x14ac:dyDescent="0.3">
      <c r="A52" s="7"/>
      <c r="B52" s="141" t="s">
        <v>221</v>
      </c>
      <c r="C52" s="142"/>
      <c r="D52" s="142"/>
      <c r="E52" s="142"/>
      <c r="F52" s="142"/>
      <c r="G52" s="143">
        <f>0.474*12*F43</f>
        <v>45968.709599999995</v>
      </c>
      <c r="H52" s="144"/>
      <c r="I52" s="8" t="s">
        <v>222</v>
      </c>
      <c r="J52" s="56"/>
      <c r="K52" s="7"/>
      <c r="L52" s="141" t="s">
        <v>221</v>
      </c>
      <c r="M52" s="142"/>
      <c r="N52" s="142"/>
      <c r="O52" s="142"/>
      <c r="P52" s="142"/>
      <c r="Q52" s="143">
        <f>0.474*12*P43</f>
        <v>46646.150399999991</v>
      </c>
      <c r="R52" s="144"/>
      <c r="S52" s="8" t="s">
        <v>222</v>
      </c>
    </row>
    <row r="53" spans="1:19" ht="13.5" customHeight="1" x14ac:dyDescent="0.25">
      <c r="A53" s="9"/>
      <c r="B53" s="145" t="s">
        <v>223</v>
      </c>
      <c r="C53" s="146"/>
      <c r="D53" s="146"/>
      <c r="E53" s="146"/>
      <c r="F53" s="146"/>
      <c r="G53" s="86">
        <f>1.81*12*F43</f>
        <v>175534.52399999998</v>
      </c>
      <c r="H53" s="147"/>
      <c r="I53" s="152" t="s">
        <v>224</v>
      </c>
      <c r="J53" s="56"/>
      <c r="K53" s="9"/>
      <c r="L53" s="145" t="s">
        <v>223</v>
      </c>
      <c r="M53" s="146"/>
      <c r="N53" s="146"/>
      <c r="O53" s="146"/>
      <c r="P53" s="146"/>
      <c r="Q53" s="86">
        <f>1.88*12*P43</f>
        <v>185010.04799999998</v>
      </c>
      <c r="R53" s="147"/>
      <c r="S53" s="152" t="s">
        <v>224</v>
      </c>
    </row>
    <row r="54" spans="1:19" ht="13.5" customHeight="1" x14ac:dyDescent="0.25">
      <c r="A54" s="10"/>
      <c r="B54" s="155" t="s">
        <v>226</v>
      </c>
      <c r="C54" s="156"/>
      <c r="D54" s="156"/>
      <c r="E54" s="156"/>
      <c r="F54" s="156"/>
      <c r="G54" s="148"/>
      <c r="H54" s="149"/>
      <c r="I54" s="153"/>
      <c r="J54" s="57"/>
      <c r="K54" s="10"/>
      <c r="L54" s="155" t="s">
        <v>226</v>
      </c>
      <c r="M54" s="156"/>
      <c r="N54" s="156"/>
      <c r="O54" s="156"/>
      <c r="P54" s="156"/>
      <c r="Q54" s="148"/>
      <c r="R54" s="149"/>
      <c r="S54" s="153"/>
    </row>
    <row r="55" spans="1:19" ht="13.5" customHeight="1" thickBot="1" x14ac:dyDescent="0.3">
      <c r="A55" s="10"/>
      <c r="B55" s="157" t="s">
        <v>227</v>
      </c>
      <c r="C55" s="158"/>
      <c r="D55" s="158"/>
      <c r="E55" s="158"/>
      <c r="F55" s="158"/>
      <c r="G55" s="148"/>
      <c r="H55" s="149"/>
      <c r="I55" s="154"/>
      <c r="J55" s="43"/>
      <c r="K55" s="10"/>
      <c r="L55" s="157" t="s">
        <v>227</v>
      </c>
      <c r="M55" s="158"/>
      <c r="N55" s="158"/>
      <c r="O55" s="158"/>
      <c r="P55" s="158"/>
      <c r="Q55" s="148"/>
      <c r="R55" s="149"/>
      <c r="S55" s="154"/>
    </row>
    <row r="56" spans="1:19" ht="13.5" customHeight="1" thickBot="1" x14ac:dyDescent="0.3">
      <c r="A56" s="10"/>
      <c r="B56" s="159" t="s">
        <v>228</v>
      </c>
      <c r="C56" s="160"/>
      <c r="D56" s="160"/>
      <c r="E56" s="160"/>
      <c r="F56" s="160"/>
      <c r="G56" s="150"/>
      <c r="H56" s="151"/>
      <c r="I56" s="11" t="s">
        <v>229</v>
      </c>
      <c r="J56" s="43"/>
      <c r="K56" s="10"/>
      <c r="L56" s="159" t="s">
        <v>228</v>
      </c>
      <c r="M56" s="160"/>
      <c r="N56" s="160"/>
      <c r="O56" s="160"/>
      <c r="P56" s="160"/>
      <c r="Q56" s="150"/>
      <c r="R56" s="151"/>
      <c r="S56" s="11" t="s">
        <v>229</v>
      </c>
    </row>
    <row r="57" spans="1:19" ht="13.5" customHeight="1" x14ac:dyDescent="0.25">
      <c r="A57" s="12"/>
      <c r="B57" s="125" t="s">
        <v>230</v>
      </c>
      <c r="C57" s="126"/>
      <c r="D57" s="126"/>
      <c r="E57" s="126"/>
      <c r="F57" s="126"/>
      <c r="G57" s="86">
        <f>0.048*12*F43</f>
        <v>4655.0592000000006</v>
      </c>
      <c r="H57" s="87"/>
      <c r="I57" s="129" t="s">
        <v>220</v>
      </c>
      <c r="J57" s="43"/>
      <c r="K57" s="12"/>
      <c r="L57" s="125" t="s">
        <v>230</v>
      </c>
      <c r="M57" s="126"/>
      <c r="N57" s="126"/>
      <c r="O57" s="126"/>
      <c r="P57" s="126"/>
      <c r="Q57" s="86">
        <f>0.048*12*P43</f>
        <v>4723.6608000000006</v>
      </c>
      <c r="R57" s="87"/>
      <c r="S57" s="129" t="s">
        <v>220</v>
      </c>
    </row>
    <row r="58" spans="1:19" ht="13.5" customHeight="1" thickBot="1" x14ac:dyDescent="0.3">
      <c r="A58" s="7"/>
      <c r="B58" s="131" t="s">
        <v>231</v>
      </c>
      <c r="C58" s="132"/>
      <c r="D58" s="132"/>
      <c r="E58" s="132"/>
      <c r="F58" s="132"/>
      <c r="G58" s="127"/>
      <c r="H58" s="128"/>
      <c r="I58" s="130"/>
      <c r="J58" s="43"/>
      <c r="K58" s="7"/>
      <c r="L58" s="131" t="s">
        <v>231</v>
      </c>
      <c r="M58" s="132"/>
      <c r="N58" s="132"/>
      <c r="O58" s="132"/>
      <c r="P58" s="132"/>
      <c r="Q58" s="127"/>
      <c r="R58" s="128"/>
      <c r="S58" s="130"/>
    </row>
    <row r="59" spans="1:19" ht="15.75" customHeight="1" thickBot="1" x14ac:dyDescent="0.3">
      <c r="A59" s="13"/>
      <c r="B59" s="133" t="s">
        <v>232</v>
      </c>
      <c r="C59" s="134"/>
      <c r="D59" s="134"/>
      <c r="E59" s="134"/>
      <c r="F59" s="134"/>
      <c r="G59" s="135"/>
      <c r="H59" s="136"/>
      <c r="I59" s="14"/>
      <c r="J59" s="58"/>
      <c r="K59" s="13"/>
      <c r="L59" s="133" t="s">
        <v>232</v>
      </c>
      <c r="M59" s="134"/>
      <c r="N59" s="134"/>
      <c r="O59" s="134"/>
      <c r="P59" s="134"/>
      <c r="Q59" s="135"/>
      <c r="R59" s="136"/>
      <c r="S59" s="14"/>
    </row>
    <row r="60" spans="1:19" ht="44.25" customHeight="1" thickBot="1" x14ac:dyDescent="0.3">
      <c r="A60" s="13"/>
      <c r="B60" s="84" t="s">
        <v>233</v>
      </c>
      <c r="C60" s="85"/>
      <c r="D60" s="85"/>
      <c r="E60" s="85"/>
      <c r="F60" s="85"/>
      <c r="G60" s="86">
        <f>1.11*12*F43</f>
        <v>107648.24400000001</v>
      </c>
      <c r="H60" s="87"/>
      <c r="I60" s="317" t="s">
        <v>545</v>
      </c>
      <c r="J60" s="41"/>
      <c r="K60" s="13"/>
      <c r="L60" s="84" t="s">
        <v>233</v>
      </c>
      <c r="M60" s="85"/>
      <c r="N60" s="85"/>
      <c r="O60" s="85"/>
      <c r="P60" s="85"/>
      <c r="Q60" s="86">
        <f>1.12*12*P43</f>
        <v>110218.75200000001</v>
      </c>
      <c r="R60" s="87"/>
      <c r="S60" s="317" t="s">
        <v>546</v>
      </c>
    </row>
    <row r="61" spans="1:19" ht="30" customHeight="1" x14ac:dyDescent="0.25">
      <c r="A61" s="118"/>
      <c r="B61" s="121" t="s">
        <v>226</v>
      </c>
      <c r="C61" s="122"/>
      <c r="D61" s="122"/>
      <c r="E61" s="122"/>
      <c r="F61" s="122"/>
      <c r="G61" s="88"/>
      <c r="H61" s="89"/>
      <c r="I61" s="318"/>
      <c r="J61" s="41"/>
      <c r="K61" s="118"/>
      <c r="L61" s="121" t="s">
        <v>226</v>
      </c>
      <c r="M61" s="122"/>
      <c r="N61" s="122"/>
      <c r="O61" s="122"/>
      <c r="P61" s="122"/>
      <c r="Q61" s="88"/>
      <c r="R61" s="89"/>
      <c r="S61" s="318"/>
    </row>
    <row r="62" spans="1:19" ht="41.25" customHeight="1" x14ac:dyDescent="0.25">
      <c r="A62" s="119"/>
      <c r="B62" s="121" t="s">
        <v>227</v>
      </c>
      <c r="C62" s="122"/>
      <c r="D62" s="122"/>
      <c r="E62" s="122"/>
      <c r="F62" s="122"/>
      <c r="G62" s="88"/>
      <c r="H62" s="89"/>
      <c r="I62" s="318"/>
      <c r="J62" s="42"/>
      <c r="K62" s="119"/>
      <c r="L62" s="121" t="s">
        <v>227</v>
      </c>
      <c r="M62" s="122"/>
      <c r="N62" s="122"/>
      <c r="O62" s="122"/>
      <c r="P62" s="122"/>
      <c r="Q62" s="88"/>
      <c r="R62" s="89"/>
      <c r="S62" s="318"/>
    </row>
    <row r="63" spans="1:19" ht="40.5" customHeight="1" x14ac:dyDescent="0.25">
      <c r="A63" s="119"/>
      <c r="B63" s="121" t="s">
        <v>228</v>
      </c>
      <c r="C63" s="122"/>
      <c r="D63" s="122"/>
      <c r="E63" s="122"/>
      <c r="F63" s="122"/>
      <c r="G63" s="88"/>
      <c r="H63" s="89"/>
      <c r="I63" s="318"/>
      <c r="J63" s="43"/>
      <c r="K63" s="119"/>
      <c r="L63" s="121" t="s">
        <v>228</v>
      </c>
      <c r="M63" s="122"/>
      <c r="N63" s="122"/>
      <c r="O63" s="122"/>
      <c r="P63" s="122"/>
      <c r="Q63" s="88"/>
      <c r="R63" s="89"/>
      <c r="S63" s="318"/>
    </row>
    <row r="64" spans="1:19" ht="81" customHeight="1" thickBot="1" x14ac:dyDescent="0.3">
      <c r="A64" s="120"/>
      <c r="B64" s="123" t="s">
        <v>234</v>
      </c>
      <c r="C64" s="124"/>
      <c r="D64" s="124"/>
      <c r="E64" s="124"/>
      <c r="F64" s="124"/>
      <c r="G64" s="90"/>
      <c r="H64" s="91"/>
      <c r="I64" s="319"/>
      <c r="J64" s="59"/>
      <c r="K64" s="120"/>
      <c r="L64" s="123" t="s">
        <v>234</v>
      </c>
      <c r="M64" s="124"/>
      <c r="N64" s="124"/>
      <c r="O64" s="124"/>
      <c r="P64" s="124"/>
      <c r="Q64" s="90"/>
      <c r="R64" s="91"/>
      <c r="S64" s="319"/>
    </row>
    <row r="65" spans="1:19" ht="6.75" customHeight="1" thickBot="1" x14ac:dyDescent="0.3">
      <c r="A65" s="15"/>
      <c r="B65" s="137"/>
      <c r="C65" s="138"/>
      <c r="D65" s="138"/>
      <c r="E65" s="138"/>
      <c r="F65" s="138"/>
      <c r="G65" s="139"/>
      <c r="H65" s="140"/>
      <c r="I65" s="16"/>
      <c r="J65" s="58"/>
      <c r="K65" s="15"/>
      <c r="L65" s="137"/>
      <c r="M65" s="138"/>
      <c r="N65" s="138"/>
      <c r="O65" s="138"/>
      <c r="P65" s="138"/>
      <c r="Q65" s="139"/>
      <c r="R65" s="140"/>
      <c r="S65" s="16"/>
    </row>
    <row r="66" spans="1:19" ht="27" hidden="1" customHeight="1" x14ac:dyDescent="0.25">
      <c r="A66" s="15"/>
      <c r="B66" s="137" t="s">
        <v>235</v>
      </c>
      <c r="C66" s="138"/>
      <c r="D66" s="138"/>
      <c r="E66" s="138"/>
      <c r="F66" s="138"/>
      <c r="G66" s="139"/>
      <c r="H66" s="140"/>
      <c r="I66" s="16"/>
      <c r="J66" s="45"/>
      <c r="K66" s="15"/>
      <c r="L66" s="137" t="s">
        <v>235</v>
      </c>
      <c r="M66" s="138"/>
      <c r="N66" s="138"/>
      <c r="O66" s="138"/>
      <c r="P66" s="138"/>
      <c r="Q66" s="139"/>
      <c r="R66" s="140"/>
      <c r="S66" s="16"/>
    </row>
    <row r="67" spans="1:19" ht="33" customHeight="1" thickBot="1" x14ac:dyDescent="0.3">
      <c r="A67" s="17"/>
      <c r="B67" s="78" t="s">
        <v>237</v>
      </c>
      <c r="C67" s="79"/>
      <c r="D67" s="79"/>
      <c r="E67" s="79"/>
      <c r="F67" s="79"/>
      <c r="G67" s="86">
        <f>5241+17926</f>
        <v>23167</v>
      </c>
      <c r="H67" s="87"/>
      <c r="I67" s="108" t="s">
        <v>229</v>
      </c>
      <c r="J67" s="41"/>
      <c r="K67" s="17"/>
      <c r="L67" s="78" t="s">
        <v>237</v>
      </c>
      <c r="M67" s="79"/>
      <c r="N67" s="79"/>
      <c r="O67" s="79"/>
      <c r="P67" s="79"/>
      <c r="Q67" s="86">
        <f>14013+23348</f>
        <v>37361</v>
      </c>
      <c r="R67" s="87"/>
      <c r="S67" s="108" t="s">
        <v>229</v>
      </c>
    </row>
    <row r="68" spans="1:19" ht="15.75" customHeight="1" thickBot="1" x14ac:dyDescent="0.3">
      <c r="A68" s="18"/>
      <c r="B68" s="110" t="s">
        <v>238</v>
      </c>
      <c r="C68" s="111"/>
      <c r="D68" s="111"/>
      <c r="E68" s="111"/>
      <c r="F68" s="111"/>
      <c r="G68" s="90"/>
      <c r="H68" s="91"/>
      <c r="I68" s="109"/>
      <c r="J68" s="41"/>
      <c r="K68" s="18"/>
      <c r="L68" s="110" t="s">
        <v>238</v>
      </c>
      <c r="M68" s="111"/>
      <c r="N68" s="111"/>
      <c r="O68" s="111"/>
      <c r="P68" s="111"/>
      <c r="Q68" s="90"/>
      <c r="R68" s="91"/>
      <c r="S68" s="109"/>
    </row>
    <row r="69" spans="1:19" ht="15.75" customHeight="1" thickBot="1" x14ac:dyDescent="0.3">
      <c r="A69" s="19"/>
      <c r="B69" s="112" t="s">
        <v>239</v>
      </c>
      <c r="C69" s="113"/>
      <c r="D69" s="113"/>
      <c r="E69" s="113"/>
      <c r="F69" s="113"/>
      <c r="G69" s="114">
        <f>SUM(G48:H68)</f>
        <v>566992.85679999995</v>
      </c>
      <c r="H69" s="115"/>
      <c r="I69" s="20"/>
      <c r="J69" s="60"/>
      <c r="K69" s="19"/>
      <c r="L69" s="112" t="s">
        <v>239</v>
      </c>
      <c r="M69" s="113"/>
      <c r="N69" s="113"/>
      <c r="O69" s="113"/>
      <c r="P69" s="113"/>
      <c r="Q69" s="114">
        <f>SUM(Q48:R68)</f>
        <v>595836.89119999995</v>
      </c>
      <c r="R69" s="115"/>
      <c r="S69" s="20"/>
    </row>
    <row r="70" spans="1:19" ht="21" customHeight="1" thickBot="1" x14ac:dyDescent="0.3">
      <c r="A70" s="21"/>
      <c r="B70" s="101" t="s">
        <v>240</v>
      </c>
      <c r="C70" s="102"/>
      <c r="D70" s="102"/>
      <c r="E70" s="102"/>
      <c r="F70" s="102"/>
      <c r="G70" s="116">
        <f>G69*1.2</f>
        <v>680391.42815999989</v>
      </c>
      <c r="H70" s="117"/>
      <c r="I70" s="22"/>
      <c r="J70" s="60"/>
      <c r="K70" s="21"/>
      <c r="L70" s="101" t="s">
        <v>240</v>
      </c>
      <c r="M70" s="102"/>
      <c r="N70" s="102"/>
      <c r="O70" s="102"/>
      <c r="P70" s="102"/>
      <c r="Q70" s="116">
        <f>Q69*1.2</f>
        <v>715004.26943999995</v>
      </c>
      <c r="R70" s="117"/>
      <c r="S70" s="22"/>
    </row>
    <row r="71" spans="1:19" ht="21" customHeight="1" thickBot="1" x14ac:dyDescent="0.3">
      <c r="A71" s="24"/>
      <c r="B71" s="96" t="s">
        <v>443</v>
      </c>
      <c r="C71" s="97"/>
      <c r="D71" s="97"/>
      <c r="E71" s="97"/>
      <c r="F71" s="97"/>
      <c r="G71" s="311">
        <v>680659.08</v>
      </c>
      <c r="H71" s="312"/>
      <c r="I71" s="313"/>
      <c r="J71" s="60"/>
      <c r="K71" s="24"/>
      <c r="L71" s="96" t="s">
        <v>443</v>
      </c>
      <c r="M71" s="97"/>
      <c r="N71" s="97"/>
      <c r="O71" s="97"/>
      <c r="P71" s="97"/>
      <c r="Q71" s="311">
        <v>714978.9</v>
      </c>
      <c r="R71" s="312"/>
      <c r="S71" s="313"/>
    </row>
    <row r="72" spans="1:19" ht="21" customHeight="1" thickBot="1" x14ac:dyDescent="0.3">
      <c r="A72" s="19"/>
      <c r="B72" s="101" t="s">
        <v>242</v>
      </c>
      <c r="C72" s="102"/>
      <c r="D72" s="102"/>
      <c r="E72" s="102"/>
      <c r="F72" s="102"/>
      <c r="G72" s="307">
        <v>663590.30000000005</v>
      </c>
      <c r="H72" s="308"/>
      <c r="I72" s="309"/>
      <c r="K72" s="19"/>
      <c r="L72" s="101" t="s">
        <v>242</v>
      </c>
      <c r="M72" s="102"/>
      <c r="N72" s="102"/>
      <c r="O72" s="102"/>
      <c r="P72" s="102"/>
      <c r="Q72" s="307">
        <v>699016.28</v>
      </c>
      <c r="R72" s="308"/>
      <c r="S72" s="309"/>
    </row>
    <row r="73" spans="1:19" ht="21" customHeight="1" thickBot="1" x14ac:dyDescent="0.3">
      <c r="A73" s="19"/>
      <c r="B73" s="106" t="s">
        <v>444</v>
      </c>
      <c r="C73" s="107"/>
      <c r="D73" s="107"/>
      <c r="E73" s="107"/>
      <c r="F73" s="107"/>
      <c r="G73" s="307">
        <v>84344.22</v>
      </c>
      <c r="H73" s="308"/>
      <c r="I73" s="309"/>
      <c r="J73" s="61"/>
      <c r="K73" s="19"/>
      <c r="L73" s="106" t="s">
        <v>444</v>
      </c>
      <c r="M73" s="107"/>
      <c r="N73" s="107"/>
      <c r="O73" s="107"/>
      <c r="P73" s="107"/>
      <c r="Q73" s="307">
        <v>132048.16</v>
      </c>
      <c r="R73" s="308"/>
      <c r="S73" s="309"/>
    </row>
    <row r="74" spans="1:19" ht="15.75" x14ac:dyDescent="0.25">
      <c r="A74" s="30"/>
      <c r="C74" s="330"/>
      <c r="D74" s="331"/>
      <c r="E74" s="331"/>
      <c r="F74" s="331"/>
      <c r="G74" s="331"/>
      <c r="H74" s="331"/>
      <c r="I74" s="331"/>
      <c r="K74" s="30"/>
      <c r="L74" s="332" t="s">
        <v>706</v>
      </c>
      <c r="M74" s="332"/>
      <c r="N74" s="332"/>
      <c r="O74" s="332"/>
      <c r="P74" s="332"/>
      <c r="Q74" s="332"/>
      <c r="R74" s="332"/>
      <c r="S74" s="332"/>
    </row>
    <row r="75" spans="1:19" ht="15.75" x14ac:dyDescent="0.25">
      <c r="A75" s="30"/>
      <c r="C75" s="30"/>
      <c r="K75" s="30"/>
      <c r="N75" s="30"/>
    </row>
    <row r="76" spans="1:19" x14ac:dyDescent="0.25">
      <c r="A76" s="3"/>
      <c r="B76" s="3"/>
      <c r="C76" s="3"/>
      <c r="D76" s="3"/>
      <c r="E76" s="4" t="s">
        <v>204</v>
      </c>
      <c r="F76" s="3"/>
      <c r="G76" s="3"/>
      <c r="H76" s="3"/>
      <c r="I76" s="3"/>
      <c r="K76" s="3"/>
      <c r="L76" s="3"/>
      <c r="M76" s="3"/>
      <c r="N76" s="3"/>
      <c r="O76" s="4" t="s">
        <v>204</v>
      </c>
      <c r="P76" s="3"/>
      <c r="Q76" s="3"/>
      <c r="R76" s="3"/>
      <c r="S76" s="3"/>
    </row>
    <row r="77" spans="1:19" x14ac:dyDescent="0.25">
      <c r="A77" s="3" t="s">
        <v>205</v>
      </c>
      <c r="B77" s="3"/>
      <c r="C77" s="3"/>
      <c r="D77" s="3" t="s">
        <v>324</v>
      </c>
      <c r="E77" s="3"/>
      <c r="F77" s="3"/>
      <c r="G77" s="3"/>
      <c r="H77" s="3"/>
      <c r="I77" s="3"/>
      <c r="K77" s="3" t="s">
        <v>205</v>
      </c>
      <c r="L77" s="3"/>
      <c r="M77" s="3"/>
      <c r="N77" s="3" t="s">
        <v>325</v>
      </c>
      <c r="O77" s="3"/>
      <c r="P77" s="3"/>
      <c r="Q77" s="3"/>
      <c r="R77" s="3"/>
      <c r="S77" s="3"/>
    </row>
    <row r="78" spans="1:19" x14ac:dyDescent="0.25">
      <c r="A78" s="3"/>
      <c r="B78" s="5" t="s">
        <v>440</v>
      </c>
      <c r="C78" s="3"/>
      <c r="D78" s="3"/>
      <c r="E78" s="3"/>
      <c r="F78" s="3"/>
      <c r="G78" s="3"/>
      <c r="H78" s="3"/>
      <c r="I78" s="3"/>
      <c r="J78" s="3"/>
      <c r="K78" s="3"/>
      <c r="L78" s="5" t="s">
        <v>440</v>
      </c>
      <c r="M78" s="3"/>
      <c r="N78" s="3"/>
      <c r="O78" s="3"/>
      <c r="P78" s="3"/>
      <c r="Q78" s="3"/>
      <c r="R78" s="3"/>
      <c r="S78" s="3"/>
    </row>
    <row r="79" spans="1:19" ht="15.75" thickBot="1" x14ac:dyDescent="0.3">
      <c r="A79" s="3"/>
      <c r="B79" s="5" t="s">
        <v>206</v>
      </c>
      <c r="C79" s="3"/>
      <c r="D79" s="3"/>
      <c r="E79" s="3"/>
      <c r="F79" s="3">
        <v>5968.8</v>
      </c>
      <c r="G79" s="3" t="s">
        <v>207</v>
      </c>
      <c r="H79" s="3"/>
      <c r="I79" s="3"/>
      <c r="J79" s="3"/>
      <c r="K79" s="3"/>
      <c r="L79" s="5" t="s">
        <v>206</v>
      </c>
      <c r="M79" s="3"/>
      <c r="N79" s="3"/>
      <c r="O79" s="3"/>
      <c r="P79" s="3">
        <v>10755.8</v>
      </c>
      <c r="Q79" s="3" t="s">
        <v>207</v>
      </c>
      <c r="R79" s="65"/>
      <c r="S79" s="3"/>
    </row>
    <row r="80" spans="1:19" ht="15" customHeight="1" x14ac:dyDescent="0.25">
      <c r="A80" s="175" t="s">
        <v>209</v>
      </c>
      <c r="B80" s="177" t="s">
        <v>210</v>
      </c>
      <c r="C80" s="178"/>
      <c r="D80" s="178"/>
      <c r="E80" s="178"/>
      <c r="F80" s="178"/>
      <c r="G80" s="180" t="s">
        <v>442</v>
      </c>
      <c r="H80" s="181"/>
      <c r="I80" s="175" t="s">
        <v>212</v>
      </c>
      <c r="J80" s="31"/>
      <c r="K80" s="175" t="s">
        <v>209</v>
      </c>
      <c r="L80" s="177" t="s">
        <v>210</v>
      </c>
      <c r="M80" s="178"/>
      <c r="N80" s="178"/>
      <c r="O80" s="178"/>
      <c r="P80" s="178"/>
      <c r="Q80" s="180" t="s">
        <v>442</v>
      </c>
      <c r="R80" s="181"/>
      <c r="S80" s="175" t="s">
        <v>212</v>
      </c>
    </row>
    <row r="81" spans="1:19" ht="75" customHeight="1" thickBot="1" x14ac:dyDescent="0.3">
      <c r="A81" s="176"/>
      <c r="B81" s="179"/>
      <c r="C81" s="179"/>
      <c r="D81" s="179"/>
      <c r="E81" s="179"/>
      <c r="F81" s="179"/>
      <c r="G81" s="182"/>
      <c r="H81" s="183"/>
      <c r="I81" s="184"/>
      <c r="J81" s="32"/>
      <c r="K81" s="176"/>
      <c r="L81" s="179"/>
      <c r="M81" s="179"/>
      <c r="N81" s="179"/>
      <c r="O81" s="179"/>
      <c r="P81" s="179"/>
      <c r="Q81" s="182"/>
      <c r="R81" s="183"/>
      <c r="S81" s="184"/>
    </row>
    <row r="82" spans="1:19" ht="15" customHeight="1" x14ac:dyDescent="0.25">
      <c r="A82" s="185" t="s">
        <v>213</v>
      </c>
      <c r="B82" s="187" t="s">
        <v>354</v>
      </c>
      <c r="C82" s="188"/>
      <c r="D82" s="188"/>
      <c r="E82" s="188"/>
      <c r="F82" s="188"/>
      <c r="G82" s="190">
        <v>117300.39</v>
      </c>
      <c r="H82" s="191"/>
      <c r="I82" s="192"/>
      <c r="J82" s="33"/>
      <c r="K82" s="185" t="s">
        <v>213</v>
      </c>
      <c r="L82" s="187" t="s">
        <v>354</v>
      </c>
      <c r="M82" s="188"/>
      <c r="N82" s="188"/>
      <c r="O82" s="188"/>
      <c r="P82" s="188"/>
      <c r="Q82" s="190">
        <v>215286.39999999999</v>
      </c>
      <c r="R82" s="191"/>
      <c r="S82" s="192"/>
    </row>
    <row r="83" spans="1:19" ht="5.25" customHeight="1" thickBot="1" x14ac:dyDescent="0.3">
      <c r="A83" s="186"/>
      <c r="B83" s="189"/>
      <c r="C83" s="189"/>
      <c r="D83" s="189"/>
      <c r="E83" s="189"/>
      <c r="F83" s="189"/>
      <c r="G83" s="193"/>
      <c r="H83" s="194"/>
      <c r="I83" s="128"/>
      <c r="J83" s="34"/>
      <c r="K83" s="186"/>
      <c r="L83" s="189"/>
      <c r="M83" s="189"/>
      <c r="N83" s="189"/>
      <c r="O83" s="189"/>
      <c r="P83" s="189"/>
      <c r="Q83" s="193"/>
      <c r="R83" s="194"/>
      <c r="S83" s="128"/>
    </row>
    <row r="84" spans="1:19" ht="15" customHeight="1" x14ac:dyDescent="0.25">
      <c r="A84" s="6"/>
      <c r="B84" s="161" t="s">
        <v>214</v>
      </c>
      <c r="C84" s="162"/>
      <c r="D84" s="162"/>
      <c r="E84" s="162"/>
      <c r="F84" s="162"/>
      <c r="G84" s="163">
        <f>1.42*12*F79</f>
        <v>101708.352</v>
      </c>
      <c r="H84" s="164"/>
      <c r="I84" s="169" t="s">
        <v>215</v>
      </c>
      <c r="J84" s="35"/>
      <c r="K84" s="6"/>
      <c r="L84" s="161" t="s">
        <v>214</v>
      </c>
      <c r="M84" s="162"/>
      <c r="N84" s="162"/>
      <c r="O84" s="162"/>
      <c r="P84" s="162"/>
      <c r="Q84" s="163">
        <f>1.59*12*P79</f>
        <v>205220.66400000002</v>
      </c>
      <c r="R84" s="164"/>
      <c r="S84" s="169" t="s">
        <v>215</v>
      </c>
    </row>
    <row r="85" spans="1:19" ht="39" customHeight="1" thickBot="1" x14ac:dyDescent="0.3">
      <c r="A85" s="7"/>
      <c r="B85" s="171" t="s">
        <v>216</v>
      </c>
      <c r="C85" s="172"/>
      <c r="D85" s="172"/>
      <c r="E85" s="172"/>
      <c r="F85" s="172"/>
      <c r="G85" s="165"/>
      <c r="H85" s="166"/>
      <c r="I85" s="170"/>
      <c r="J85" s="36"/>
      <c r="K85" s="7"/>
      <c r="L85" s="171" t="s">
        <v>216</v>
      </c>
      <c r="M85" s="172"/>
      <c r="N85" s="172"/>
      <c r="O85" s="172"/>
      <c r="P85" s="172"/>
      <c r="Q85" s="165"/>
      <c r="R85" s="166"/>
      <c r="S85" s="170"/>
    </row>
    <row r="86" spans="1:19" ht="13.5" customHeight="1" thickBot="1" x14ac:dyDescent="0.3">
      <c r="A86" s="7"/>
      <c r="B86" s="173" t="s">
        <v>217</v>
      </c>
      <c r="C86" s="174"/>
      <c r="D86" s="174"/>
      <c r="E86" s="174"/>
      <c r="F86" s="174"/>
      <c r="G86" s="167"/>
      <c r="H86" s="168"/>
      <c r="I86" s="8" t="s">
        <v>218</v>
      </c>
      <c r="J86" s="36"/>
      <c r="K86" s="7"/>
      <c r="L86" s="173" t="s">
        <v>217</v>
      </c>
      <c r="M86" s="174"/>
      <c r="N86" s="174"/>
      <c r="O86" s="174"/>
      <c r="P86" s="174"/>
      <c r="Q86" s="167"/>
      <c r="R86" s="168"/>
      <c r="S86" s="8" t="s">
        <v>218</v>
      </c>
    </row>
    <row r="87" spans="1:19" ht="20.25" customHeight="1" thickBot="1" x14ac:dyDescent="0.3">
      <c r="A87" s="7"/>
      <c r="B87" s="141" t="s">
        <v>219</v>
      </c>
      <c r="C87" s="142"/>
      <c r="D87" s="142"/>
      <c r="E87" s="142"/>
      <c r="F87" s="142"/>
      <c r="G87" s="143">
        <f>1748.85*3*12</f>
        <v>62958.599999999991</v>
      </c>
      <c r="H87" s="144"/>
      <c r="I87" s="8" t="s">
        <v>220</v>
      </c>
      <c r="J87" s="37"/>
      <c r="K87" s="7"/>
      <c r="L87" s="141" t="s">
        <v>219</v>
      </c>
      <c r="M87" s="142"/>
      <c r="N87" s="142"/>
      <c r="O87" s="142"/>
      <c r="P87" s="142"/>
      <c r="Q87" s="143">
        <f>2164*12*7</f>
        <v>181776</v>
      </c>
      <c r="R87" s="144"/>
      <c r="S87" s="8" t="s">
        <v>220</v>
      </c>
    </row>
    <row r="88" spans="1:19" ht="20.25" customHeight="1" thickBot="1" x14ac:dyDescent="0.3">
      <c r="A88" s="7"/>
      <c r="B88" s="141" t="s">
        <v>221</v>
      </c>
      <c r="C88" s="142"/>
      <c r="D88" s="142"/>
      <c r="E88" s="142"/>
      <c r="F88" s="142"/>
      <c r="G88" s="143">
        <f>0.474*12*F79</f>
        <v>33950.534399999997</v>
      </c>
      <c r="H88" s="144"/>
      <c r="I88" s="8" t="s">
        <v>222</v>
      </c>
      <c r="J88" s="38"/>
      <c r="K88" s="7"/>
      <c r="L88" s="141" t="s">
        <v>221</v>
      </c>
      <c r="M88" s="142"/>
      <c r="N88" s="142"/>
      <c r="O88" s="142"/>
      <c r="P88" s="142"/>
      <c r="Q88" s="143">
        <f>0.474*12*P79</f>
        <v>61178.990399999995</v>
      </c>
      <c r="R88" s="144"/>
      <c r="S88" s="8" t="s">
        <v>222</v>
      </c>
    </row>
    <row r="89" spans="1:19" ht="13.5" customHeight="1" x14ac:dyDescent="0.25">
      <c r="A89" s="9"/>
      <c r="B89" s="145" t="s">
        <v>223</v>
      </c>
      <c r="C89" s="146"/>
      <c r="D89" s="146"/>
      <c r="E89" s="146"/>
      <c r="F89" s="146"/>
      <c r="G89" s="86">
        <f>1.98*12*F79</f>
        <v>141818.68799999999</v>
      </c>
      <c r="H89" s="147"/>
      <c r="I89" s="152" t="s">
        <v>224</v>
      </c>
      <c r="J89" s="38"/>
      <c r="K89" s="9"/>
      <c r="L89" s="145" t="s">
        <v>223</v>
      </c>
      <c r="M89" s="146"/>
      <c r="N89" s="146"/>
      <c r="O89" s="146"/>
      <c r="P89" s="146"/>
      <c r="Q89" s="86">
        <f>1.69*12*P79</f>
        <v>218127.62400000001</v>
      </c>
      <c r="R89" s="147"/>
      <c r="S89" s="152" t="s">
        <v>224</v>
      </c>
    </row>
    <row r="90" spans="1:19" ht="13.5" customHeight="1" x14ac:dyDescent="0.25">
      <c r="A90" s="10"/>
      <c r="B90" s="155" t="s">
        <v>226</v>
      </c>
      <c r="C90" s="156"/>
      <c r="D90" s="156"/>
      <c r="E90" s="156"/>
      <c r="F90" s="156"/>
      <c r="G90" s="148"/>
      <c r="H90" s="149"/>
      <c r="I90" s="153"/>
      <c r="J90" s="39"/>
      <c r="K90" s="10"/>
      <c r="L90" s="155" t="s">
        <v>226</v>
      </c>
      <c r="M90" s="156"/>
      <c r="N90" s="156"/>
      <c r="O90" s="156"/>
      <c r="P90" s="156"/>
      <c r="Q90" s="148"/>
      <c r="R90" s="149"/>
      <c r="S90" s="153"/>
    </row>
    <row r="91" spans="1:19" ht="13.5" customHeight="1" thickBot="1" x14ac:dyDescent="0.3">
      <c r="A91" s="10"/>
      <c r="B91" s="157" t="s">
        <v>227</v>
      </c>
      <c r="C91" s="158"/>
      <c r="D91" s="158"/>
      <c r="E91" s="158"/>
      <c r="F91" s="158"/>
      <c r="G91" s="148"/>
      <c r="H91" s="149"/>
      <c r="I91" s="154"/>
      <c r="J91" s="36"/>
      <c r="K91" s="10"/>
      <c r="L91" s="157" t="s">
        <v>227</v>
      </c>
      <c r="M91" s="158"/>
      <c r="N91" s="158"/>
      <c r="O91" s="158"/>
      <c r="P91" s="158"/>
      <c r="Q91" s="148"/>
      <c r="R91" s="149"/>
      <c r="S91" s="154"/>
    </row>
    <row r="92" spans="1:19" ht="13.5" customHeight="1" thickBot="1" x14ac:dyDescent="0.3">
      <c r="A92" s="10"/>
      <c r="B92" s="159" t="s">
        <v>228</v>
      </c>
      <c r="C92" s="160"/>
      <c r="D92" s="160"/>
      <c r="E92" s="160"/>
      <c r="F92" s="160"/>
      <c r="G92" s="150"/>
      <c r="H92" s="151"/>
      <c r="I92" s="11" t="s">
        <v>229</v>
      </c>
      <c r="J92" s="36"/>
      <c r="K92" s="10"/>
      <c r="L92" s="159" t="s">
        <v>228</v>
      </c>
      <c r="M92" s="160"/>
      <c r="N92" s="160"/>
      <c r="O92" s="160"/>
      <c r="P92" s="160"/>
      <c r="Q92" s="150"/>
      <c r="R92" s="151"/>
      <c r="S92" s="11" t="s">
        <v>229</v>
      </c>
    </row>
    <row r="93" spans="1:19" ht="13.5" customHeight="1" x14ac:dyDescent="0.25">
      <c r="A93" s="12"/>
      <c r="B93" s="125" t="s">
        <v>230</v>
      </c>
      <c r="C93" s="126"/>
      <c r="D93" s="126"/>
      <c r="E93" s="126"/>
      <c r="F93" s="126"/>
      <c r="G93" s="86">
        <f>0.048*12*F79</f>
        <v>3438.0288000000005</v>
      </c>
      <c r="H93" s="87"/>
      <c r="I93" s="129" t="s">
        <v>220</v>
      </c>
      <c r="J93" s="36"/>
      <c r="K93" s="12"/>
      <c r="L93" s="125" t="s">
        <v>230</v>
      </c>
      <c r="M93" s="126"/>
      <c r="N93" s="126"/>
      <c r="O93" s="126"/>
      <c r="P93" s="126"/>
      <c r="Q93" s="86"/>
      <c r="R93" s="87"/>
      <c r="S93" s="129" t="s">
        <v>220</v>
      </c>
    </row>
    <row r="94" spans="1:19" ht="13.5" customHeight="1" thickBot="1" x14ac:dyDescent="0.3">
      <c r="A94" s="7"/>
      <c r="B94" s="131" t="s">
        <v>231</v>
      </c>
      <c r="C94" s="132"/>
      <c r="D94" s="132"/>
      <c r="E94" s="132"/>
      <c r="F94" s="132"/>
      <c r="G94" s="127"/>
      <c r="H94" s="128"/>
      <c r="I94" s="130"/>
      <c r="J94" s="36"/>
      <c r="K94" s="7"/>
      <c r="L94" s="131" t="s">
        <v>231</v>
      </c>
      <c r="M94" s="132"/>
      <c r="N94" s="132"/>
      <c r="O94" s="132"/>
      <c r="P94" s="132"/>
      <c r="Q94" s="127"/>
      <c r="R94" s="128"/>
      <c r="S94" s="130"/>
    </row>
    <row r="95" spans="1:19" ht="13.5" customHeight="1" thickBot="1" x14ac:dyDescent="0.3">
      <c r="A95" s="13"/>
      <c r="B95" s="133" t="s">
        <v>232</v>
      </c>
      <c r="C95" s="134"/>
      <c r="D95" s="134"/>
      <c r="E95" s="134"/>
      <c r="F95" s="134"/>
      <c r="G95" s="135"/>
      <c r="H95" s="136"/>
      <c r="I95" s="14"/>
      <c r="J95" s="40"/>
      <c r="K95" s="13"/>
      <c r="L95" s="133" t="s">
        <v>232</v>
      </c>
      <c r="M95" s="134"/>
      <c r="N95" s="134"/>
      <c r="O95" s="134"/>
      <c r="P95" s="134"/>
      <c r="Q95" s="135"/>
      <c r="R95" s="136"/>
      <c r="S95" s="14"/>
    </row>
    <row r="96" spans="1:19" ht="15.75" customHeight="1" thickBot="1" x14ac:dyDescent="0.3">
      <c r="A96" s="13"/>
      <c r="B96" s="84" t="s">
        <v>233</v>
      </c>
      <c r="C96" s="85"/>
      <c r="D96" s="85"/>
      <c r="E96" s="85"/>
      <c r="F96" s="85"/>
      <c r="G96" s="86">
        <f>1.5*12*F79</f>
        <v>107438.40000000001</v>
      </c>
      <c r="H96" s="87"/>
      <c r="I96" s="317" t="s">
        <v>547</v>
      </c>
      <c r="J96" s="41"/>
      <c r="K96" s="13"/>
      <c r="L96" s="84" t="s">
        <v>233</v>
      </c>
      <c r="M96" s="85"/>
      <c r="N96" s="85"/>
      <c r="O96" s="85"/>
      <c r="P96" s="85"/>
      <c r="Q96" s="86">
        <f>1.1*12*P79</f>
        <v>141976.56</v>
      </c>
      <c r="R96" s="87"/>
      <c r="S96" s="317" t="s">
        <v>548</v>
      </c>
    </row>
    <row r="97" spans="1:19" ht="36.75" customHeight="1" x14ac:dyDescent="0.25">
      <c r="A97" s="118"/>
      <c r="B97" s="121" t="s">
        <v>226</v>
      </c>
      <c r="C97" s="122"/>
      <c r="D97" s="122"/>
      <c r="E97" s="122"/>
      <c r="F97" s="122"/>
      <c r="G97" s="88"/>
      <c r="H97" s="89"/>
      <c r="I97" s="318"/>
      <c r="J97" s="41"/>
      <c r="K97" s="118"/>
      <c r="L97" s="121" t="s">
        <v>226</v>
      </c>
      <c r="M97" s="122"/>
      <c r="N97" s="122"/>
      <c r="O97" s="122"/>
      <c r="P97" s="122"/>
      <c r="Q97" s="88"/>
      <c r="R97" s="89"/>
      <c r="S97" s="318"/>
    </row>
    <row r="98" spans="1:19" ht="36.75" customHeight="1" x14ac:dyDescent="0.25">
      <c r="A98" s="119"/>
      <c r="B98" s="121" t="s">
        <v>227</v>
      </c>
      <c r="C98" s="122"/>
      <c r="D98" s="122"/>
      <c r="E98" s="122"/>
      <c r="F98" s="122"/>
      <c r="G98" s="88"/>
      <c r="H98" s="89"/>
      <c r="I98" s="318"/>
      <c r="J98" s="41"/>
      <c r="K98" s="119"/>
      <c r="L98" s="121" t="s">
        <v>227</v>
      </c>
      <c r="M98" s="122"/>
      <c r="N98" s="122"/>
      <c r="O98" s="122"/>
      <c r="P98" s="122"/>
      <c r="Q98" s="88"/>
      <c r="R98" s="89"/>
      <c r="S98" s="318"/>
    </row>
    <row r="99" spans="1:19" ht="33" customHeight="1" x14ac:dyDescent="0.25">
      <c r="A99" s="119"/>
      <c r="B99" s="121" t="s">
        <v>228</v>
      </c>
      <c r="C99" s="122"/>
      <c r="D99" s="122"/>
      <c r="E99" s="122"/>
      <c r="F99" s="122"/>
      <c r="G99" s="88"/>
      <c r="H99" s="89"/>
      <c r="I99" s="318"/>
      <c r="J99" s="42"/>
      <c r="K99" s="119"/>
      <c r="L99" s="121" t="s">
        <v>228</v>
      </c>
      <c r="M99" s="122"/>
      <c r="N99" s="122"/>
      <c r="O99" s="122"/>
      <c r="P99" s="122"/>
      <c r="Q99" s="88"/>
      <c r="R99" s="89"/>
      <c r="S99" s="318"/>
    </row>
    <row r="100" spans="1:19" ht="53.25" customHeight="1" thickBot="1" x14ac:dyDescent="0.3">
      <c r="A100" s="120"/>
      <c r="B100" s="123" t="s">
        <v>234</v>
      </c>
      <c r="C100" s="124"/>
      <c r="D100" s="124"/>
      <c r="E100" s="124"/>
      <c r="F100" s="124"/>
      <c r="G100" s="90"/>
      <c r="H100" s="91"/>
      <c r="I100" s="319"/>
      <c r="J100" s="43"/>
      <c r="K100" s="120"/>
      <c r="L100" s="123" t="s">
        <v>234</v>
      </c>
      <c r="M100" s="124"/>
      <c r="N100" s="124"/>
      <c r="O100" s="124"/>
      <c r="P100" s="124"/>
      <c r="Q100" s="90"/>
      <c r="R100" s="91"/>
      <c r="S100" s="319"/>
    </row>
    <row r="101" spans="1:19" ht="4.5" customHeight="1" thickBot="1" x14ac:dyDescent="0.3">
      <c r="A101" s="15"/>
      <c r="B101" s="137"/>
      <c r="C101" s="138"/>
      <c r="D101" s="138"/>
      <c r="E101" s="138"/>
      <c r="F101" s="138"/>
      <c r="G101" s="139"/>
      <c r="H101" s="140"/>
      <c r="I101" s="16"/>
      <c r="J101" s="44"/>
      <c r="K101" s="15"/>
      <c r="L101" s="137"/>
      <c r="M101" s="138"/>
      <c r="N101" s="138"/>
      <c r="O101" s="138"/>
      <c r="P101" s="138"/>
      <c r="Q101" s="139"/>
      <c r="R101" s="140"/>
      <c r="S101" s="16"/>
    </row>
    <row r="102" spans="1:19" ht="1.5" customHeight="1" thickBot="1" x14ac:dyDescent="0.3">
      <c r="A102" s="15"/>
      <c r="B102" s="137" t="s">
        <v>235</v>
      </c>
      <c r="C102" s="138"/>
      <c r="D102" s="138"/>
      <c r="E102" s="138"/>
      <c r="F102" s="138"/>
      <c r="G102" s="139"/>
      <c r="H102" s="140"/>
      <c r="I102" s="16"/>
      <c r="J102" s="40"/>
      <c r="K102" s="15"/>
      <c r="L102" s="137" t="s">
        <v>235</v>
      </c>
      <c r="M102" s="138"/>
      <c r="N102" s="138"/>
      <c r="O102" s="138"/>
      <c r="P102" s="138"/>
      <c r="Q102" s="139"/>
      <c r="R102" s="140"/>
      <c r="S102" s="16"/>
    </row>
    <row r="103" spans="1:19" ht="29.25" customHeight="1" thickBot="1" x14ac:dyDescent="0.3">
      <c r="A103" s="17"/>
      <c r="B103" s="78" t="s">
        <v>237</v>
      </c>
      <c r="C103" s="79"/>
      <c r="D103" s="79"/>
      <c r="E103" s="79"/>
      <c r="F103" s="79"/>
      <c r="G103" s="86">
        <f>7445+12986</f>
        <v>20431</v>
      </c>
      <c r="H103" s="87"/>
      <c r="I103" s="108" t="s">
        <v>229</v>
      </c>
      <c r="J103" s="27"/>
      <c r="K103" s="17"/>
      <c r="L103" s="78" t="s">
        <v>237</v>
      </c>
      <c r="M103" s="79"/>
      <c r="N103" s="79"/>
      <c r="O103" s="79"/>
      <c r="P103" s="79"/>
      <c r="Q103" s="86">
        <f>12546+31655</f>
        <v>44201</v>
      </c>
      <c r="R103" s="87"/>
      <c r="S103" s="108" t="s">
        <v>229</v>
      </c>
    </row>
    <row r="104" spans="1:19" ht="15" customHeight="1" thickBot="1" x14ac:dyDescent="0.3">
      <c r="A104" s="18"/>
      <c r="B104" s="110" t="s">
        <v>238</v>
      </c>
      <c r="C104" s="111"/>
      <c r="D104" s="111"/>
      <c r="E104" s="111"/>
      <c r="F104" s="111"/>
      <c r="G104" s="90"/>
      <c r="H104" s="91"/>
      <c r="I104" s="109"/>
      <c r="J104" s="45"/>
      <c r="K104" s="18"/>
      <c r="L104" s="110" t="s">
        <v>238</v>
      </c>
      <c r="M104" s="111"/>
      <c r="N104" s="111"/>
      <c r="O104" s="111"/>
      <c r="P104" s="111"/>
      <c r="Q104" s="90"/>
      <c r="R104" s="91"/>
      <c r="S104" s="109"/>
    </row>
    <row r="105" spans="1:19" ht="15" customHeight="1" thickBot="1" x14ac:dyDescent="0.3">
      <c r="A105" s="19"/>
      <c r="B105" s="112" t="s">
        <v>239</v>
      </c>
      <c r="C105" s="113"/>
      <c r="D105" s="113"/>
      <c r="E105" s="113"/>
      <c r="F105" s="113"/>
      <c r="G105" s="114">
        <f>SUM(G84:H104)</f>
        <v>471743.60320000007</v>
      </c>
      <c r="H105" s="115"/>
      <c r="I105" s="20"/>
      <c r="J105" s="46"/>
      <c r="K105" s="19"/>
      <c r="L105" s="112" t="s">
        <v>239</v>
      </c>
      <c r="M105" s="113"/>
      <c r="N105" s="113"/>
      <c r="O105" s="113"/>
      <c r="P105" s="113"/>
      <c r="Q105" s="114">
        <f>SUM(Q84:R104)</f>
        <v>852480.83840000001</v>
      </c>
      <c r="R105" s="115"/>
      <c r="S105" s="20"/>
    </row>
    <row r="106" spans="1:19" ht="26.25" customHeight="1" thickBot="1" x14ac:dyDescent="0.3">
      <c r="A106" s="21"/>
      <c r="B106" s="101" t="s">
        <v>240</v>
      </c>
      <c r="C106" s="102"/>
      <c r="D106" s="102"/>
      <c r="E106" s="102"/>
      <c r="F106" s="102"/>
      <c r="G106" s="116">
        <f>G105*1.2</f>
        <v>566092.32384000008</v>
      </c>
      <c r="H106" s="117"/>
      <c r="I106" s="22"/>
      <c r="J106" s="47"/>
      <c r="K106" s="21"/>
      <c r="L106" s="101" t="s">
        <v>240</v>
      </c>
      <c r="M106" s="102"/>
      <c r="N106" s="102"/>
      <c r="O106" s="102"/>
      <c r="P106" s="102"/>
      <c r="Q106" s="116">
        <f>Q105*1.2</f>
        <v>1022977.00608</v>
      </c>
      <c r="R106" s="117"/>
      <c r="S106" s="22"/>
    </row>
    <row r="107" spans="1:19" ht="26.25" customHeight="1" thickBot="1" x14ac:dyDescent="0.3">
      <c r="A107" s="24"/>
      <c r="B107" s="96" t="s">
        <v>443</v>
      </c>
      <c r="C107" s="97"/>
      <c r="D107" s="97"/>
      <c r="E107" s="97"/>
      <c r="F107" s="97"/>
      <c r="G107" s="311">
        <v>567792.18999999994</v>
      </c>
      <c r="H107" s="312"/>
      <c r="I107" s="313"/>
      <c r="J107" s="47"/>
      <c r="K107" s="24"/>
      <c r="L107" s="96" t="s">
        <v>443</v>
      </c>
      <c r="M107" s="97"/>
      <c r="N107" s="97"/>
      <c r="O107" s="97"/>
      <c r="P107" s="97"/>
      <c r="Q107" s="311">
        <v>1039319.57</v>
      </c>
      <c r="R107" s="312"/>
      <c r="S107" s="313"/>
    </row>
    <row r="108" spans="1:19" ht="26.25" customHeight="1" thickBot="1" x14ac:dyDescent="0.3">
      <c r="A108" s="19"/>
      <c r="B108" s="101" t="s">
        <v>242</v>
      </c>
      <c r="C108" s="102"/>
      <c r="D108" s="102"/>
      <c r="E108" s="102"/>
      <c r="F108" s="102"/>
      <c r="G108" s="307">
        <v>579835.38</v>
      </c>
      <c r="H108" s="308"/>
      <c r="I108" s="309"/>
      <c r="J108" s="47"/>
      <c r="K108" s="19"/>
      <c r="L108" s="101" t="s">
        <v>242</v>
      </c>
      <c r="M108" s="102"/>
      <c r="N108" s="102"/>
      <c r="O108" s="102"/>
      <c r="P108" s="102"/>
      <c r="Q108" s="307">
        <v>1059527.72</v>
      </c>
      <c r="R108" s="308"/>
      <c r="S108" s="309"/>
    </row>
    <row r="109" spans="1:19" ht="26.25" customHeight="1" thickBot="1" x14ac:dyDescent="0.3">
      <c r="A109" s="19"/>
      <c r="B109" s="106" t="s">
        <v>444</v>
      </c>
      <c r="C109" s="107"/>
      <c r="D109" s="107"/>
      <c r="E109" s="107"/>
      <c r="F109" s="107"/>
      <c r="G109" s="307">
        <v>105257.2</v>
      </c>
      <c r="H109" s="308"/>
      <c r="I109" s="309"/>
      <c r="J109" s="47"/>
      <c r="K109" s="19"/>
      <c r="L109" s="106" t="s">
        <v>444</v>
      </c>
      <c r="M109" s="107"/>
      <c r="N109" s="107"/>
      <c r="O109" s="107"/>
      <c r="P109" s="107"/>
      <c r="Q109" s="307">
        <v>195078.25</v>
      </c>
      <c r="R109" s="308"/>
      <c r="S109" s="309"/>
    </row>
    <row r="110" spans="1:19" ht="12.75" customHeight="1" x14ac:dyDescent="0.25">
      <c r="A110" s="4"/>
      <c r="B110" s="26"/>
      <c r="C110" s="26"/>
      <c r="D110" s="26"/>
      <c r="E110" s="26"/>
      <c r="F110" s="26"/>
      <c r="G110" s="27"/>
      <c r="H110" s="3"/>
      <c r="I110" s="3"/>
      <c r="K110" s="4"/>
      <c r="L110" s="302"/>
      <c r="M110" s="162"/>
      <c r="N110" s="162"/>
      <c r="O110" s="162"/>
      <c r="P110" s="162"/>
      <c r="Q110" s="162"/>
      <c r="R110" s="162"/>
      <c r="S110" s="162"/>
    </row>
    <row r="111" spans="1:19" ht="12.75" customHeight="1" x14ac:dyDescent="0.25">
      <c r="E111" s="50"/>
      <c r="I111" s="5"/>
      <c r="L111" s="303"/>
      <c r="M111" s="303"/>
      <c r="N111" s="303"/>
      <c r="O111" s="303"/>
      <c r="P111" s="303"/>
      <c r="Q111" s="303"/>
      <c r="R111" s="303"/>
      <c r="S111" s="303"/>
    </row>
    <row r="112" spans="1:19" ht="12.75" customHeight="1" x14ac:dyDescent="0.25">
      <c r="A112" s="3"/>
      <c r="I112" s="5"/>
      <c r="K112" s="3"/>
      <c r="L112" s="303"/>
      <c r="M112" s="303"/>
      <c r="N112" s="303"/>
      <c r="O112" s="303"/>
      <c r="P112" s="303"/>
      <c r="Q112" s="303"/>
      <c r="R112" s="303"/>
      <c r="S112" s="303"/>
    </row>
    <row r="113" spans="1:19" ht="9" customHeight="1" x14ac:dyDescent="0.25">
      <c r="B113" s="30"/>
      <c r="K113" s="30"/>
      <c r="L113" s="30"/>
    </row>
    <row r="114" spans="1:19" ht="15.75" x14ac:dyDescent="0.25">
      <c r="B114" s="30"/>
      <c r="K114" s="30"/>
      <c r="L114" s="30"/>
    </row>
    <row r="115" spans="1:19" x14ac:dyDescent="0.25">
      <c r="A115" s="3"/>
      <c r="B115" s="3"/>
      <c r="C115" s="3"/>
      <c r="D115" s="3"/>
      <c r="E115" s="4" t="s">
        <v>204</v>
      </c>
      <c r="F115" s="3"/>
      <c r="G115" s="3"/>
      <c r="H115" s="3"/>
      <c r="I115" s="3"/>
      <c r="K115" s="3"/>
      <c r="L115" s="3"/>
      <c r="M115" s="3"/>
      <c r="N115" s="3"/>
      <c r="O115" s="4" t="s">
        <v>204</v>
      </c>
      <c r="P115" s="3"/>
      <c r="Q115" s="3"/>
      <c r="R115" s="3"/>
      <c r="S115" s="3"/>
    </row>
    <row r="116" spans="1:19" x14ac:dyDescent="0.25">
      <c r="A116" s="3" t="s">
        <v>205</v>
      </c>
      <c r="B116" s="3"/>
      <c r="C116" s="3"/>
      <c r="D116" s="3" t="s">
        <v>326</v>
      </c>
      <c r="E116" s="3"/>
      <c r="F116" s="3"/>
      <c r="G116" s="3"/>
      <c r="H116" s="3"/>
      <c r="I116" s="3"/>
      <c r="K116" s="3" t="s">
        <v>205</v>
      </c>
      <c r="L116" s="3"/>
      <c r="M116" s="3"/>
      <c r="N116" s="3" t="s">
        <v>327</v>
      </c>
      <c r="O116" s="3"/>
      <c r="P116" s="3"/>
      <c r="Q116" s="3"/>
      <c r="R116" s="3"/>
      <c r="S116" s="3"/>
    </row>
    <row r="117" spans="1:19" x14ac:dyDescent="0.25">
      <c r="A117" s="3"/>
      <c r="B117" s="5" t="s">
        <v>440</v>
      </c>
      <c r="C117" s="3"/>
      <c r="D117" s="3"/>
      <c r="E117" s="3"/>
      <c r="F117" s="3"/>
      <c r="G117" s="3"/>
      <c r="H117" s="3"/>
      <c r="I117" s="3"/>
      <c r="K117" s="3"/>
      <c r="L117" s="5" t="s">
        <v>440</v>
      </c>
      <c r="M117" s="3"/>
      <c r="N117" s="3"/>
      <c r="O117" s="3"/>
      <c r="P117" s="3"/>
      <c r="Q117" s="3"/>
      <c r="R117" s="3"/>
      <c r="S117" s="3"/>
    </row>
    <row r="118" spans="1:19" ht="15.75" thickBot="1" x14ac:dyDescent="0.3">
      <c r="A118" s="3"/>
      <c r="B118" s="5" t="s">
        <v>206</v>
      </c>
      <c r="C118" s="3"/>
      <c r="D118" s="3"/>
      <c r="E118" s="3"/>
      <c r="F118" s="3">
        <v>2192.1</v>
      </c>
      <c r="G118" s="3" t="s">
        <v>207</v>
      </c>
      <c r="H118" s="3"/>
      <c r="I118" s="3"/>
      <c r="J118" s="3"/>
      <c r="K118" s="3"/>
      <c r="L118" s="5" t="s">
        <v>206</v>
      </c>
      <c r="M118" s="3"/>
      <c r="N118" s="3"/>
      <c r="O118" s="3"/>
      <c r="P118" s="3">
        <v>8931</v>
      </c>
      <c r="Q118" s="3" t="s">
        <v>207</v>
      </c>
      <c r="R118" s="65"/>
      <c r="S118" s="3"/>
    </row>
    <row r="119" spans="1:19" ht="15.75" customHeight="1" thickBot="1" x14ac:dyDescent="0.3">
      <c r="A119" s="175" t="s">
        <v>209</v>
      </c>
      <c r="B119" s="177" t="s">
        <v>210</v>
      </c>
      <c r="C119" s="178"/>
      <c r="D119" s="178"/>
      <c r="E119" s="178"/>
      <c r="F119" s="178"/>
      <c r="G119" s="180" t="s">
        <v>442</v>
      </c>
      <c r="H119" s="181"/>
      <c r="I119" s="175" t="s">
        <v>212</v>
      </c>
      <c r="J119" s="3"/>
      <c r="K119" s="175" t="s">
        <v>209</v>
      </c>
      <c r="L119" s="177" t="s">
        <v>210</v>
      </c>
      <c r="M119" s="178"/>
      <c r="N119" s="178"/>
      <c r="O119" s="178"/>
      <c r="P119" s="178"/>
      <c r="Q119" s="180" t="s">
        <v>442</v>
      </c>
      <c r="R119" s="181"/>
      <c r="S119" s="175" t="s">
        <v>212</v>
      </c>
    </row>
    <row r="120" spans="1:19" ht="68.25" customHeight="1" thickBot="1" x14ac:dyDescent="0.3">
      <c r="A120" s="176"/>
      <c r="B120" s="179"/>
      <c r="C120" s="179"/>
      <c r="D120" s="179"/>
      <c r="E120" s="179"/>
      <c r="F120" s="179"/>
      <c r="G120" s="182"/>
      <c r="H120" s="183"/>
      <c r="I120" s="184"/>
      <c r="J120" s="31"/>
      <c r="K120" s="176"/>
      <c r="L120" s="179"/>
      <c r="M120" s="179"/>
      <c r="N120" s="179"/>
      <c r="O120" s="179"/>
      <c r="P120" s="179"/>
      <c r="Q120" s="182"/>
      <c r="R120" s="183"/>
      <c r="S120" s="184"/>
    </row>
    <row r="121" spans="1:19" ht="21.75" customHeight="1" thickBot="1" x14ac:dyDescent="0.3">
      <c r="A121" s="185" t="s">
        <v>213</v>
      </c>
      <c r="B121" s="187" t="s">
        <v>354</v>
      </c>
      <c r="C121" s="188"/>
      <c r="D121" s="188"/>
      <c r="E121" s="188"/>
      <c r="F121" s="188"/>
      <c r="G121" s="190">
        <v>32929.120000000003</v>
      </c>
      <c r="H121" s="191"/>
      <c r="I121" s="192"/>
      <c r="J121" s="32"/>
      <c r="K121" s="185" t="s">
        <v>213</v>
      </c>
      <c r="L121" s="187" t="s">
        <v>354</v>
      </c>
      <c r="M121" s="188"/>
      <c r="N121" s="188"/>
      <c r="O121" s="188"/>
      <c r="P121" s="188"/>
      <c r="Q121" s="190">
        <v>123664.79</v>
      </c>
      <c r="R121" s="191"/>
      <c r="S121" s="192"/>
    </row>
    <row r="122" spans="1:19" ht="15.75" hidden="1" customHeight="1" x14ac:dyDescent="0.25">
      <c r="A122" s="186"/>
      <c r="B122" s="189"/>
      <c r="C122" s="189"/>
      <c r="D122" s="189"/>
      <c r="E122" s="189"/>
      <c r="F122" s="189"/>
      <c r="G122" s="193"/>
      <c r="H122" s="194"/>
      <c r="I122" s="128"/>
      <c r="J122" s="33"/>
      <c r="K122" s="186"/>
      <c r="L122" s="189"/>
      <c r="M122" s="189"/>
      <c r="N122" s="189"/>
      <c r="O122" s="189"/>
      <c r="P122" s="189"/>
      <c r="Q122" s="193"/>
      <c r="R122" s="194"/>
      <c r="S122" s="128"/>
    </row>
    <row r="123" spans="1:19" ht="16.5" customHeight="1" x14ac:dyDescent="0.25">
      <c r="A123" s="6"/>
      <c r="B123" s="161" t="s">
        <v>214</v>
      </c>
      <c r="C123" s="162"/>
      <c r="D123" s="162"/>
      <c r="E123" s="162"/>
      <c r="F123" s="162"/>
      <c r="G123" s="163">
        <f>1.08*12*F118</f>
        <v>28409.616000000002</v>
      </c>
      <c r="H123" s="164"/>
      <c r="I123" s="169" t="s">
        <v>215</v>
      </c>
      <c r="J123" s="36"/>
      <c r="K123" s="6"/>
      <c r="L123" s="161" t="s">
        <v>214</v>
      </c>
      <c r="M123" s="162"/>
      <c r="N123" s="162"/>
      <c r="O123" s="162"/>
      <c r="P123" s="162"/>
      <c r="Q123" s="163">
        <f>1.45*12*P118</f>
        <v>155399.4</v>
      </c>
      <c r="R123" s="164"/>
      <c r="S123" s="169" t="s">
        <v>215</v>
      </c>
    </row>
    <row r="124" spans="1:19" ht="31.5" customHeight="1" thickBot="1" x14ac:dyDescent="0.3">
      <c r="A124" s="7"/>
      <c r="B124" s="171" t="s">
        <v>216</v>
      </c>
      <c r="C124" s="172"/>
      <c r="D124" s="172"/>
      <c r="E124" s="172"/>
      <c r="F124" s="172"/>
      <c r="G124" s="165"/>
      <c r="H124" s="166"/>
      <c r="I124" s="170"/>
      <c r="J124" s="35"/>
      <c r="K124" s="7"/>
      <c r="L124" s="171" t="s">
        <v>216</v>
      </c>
      <c r="M124" s="172"/>
      <c r="N124" s="172"/>
      <c r="O124" s="172"/>
      <c r="P124" s="172"/>
      <c r="Q124" s="165"/>
      <c r="R124" s="166"/>
      <c r="S124" s="170"/>
    </row>
    <row r="125" spans="1:19" ht="13.5" customHeight="1" thickBot="1" x14ac:dyDescent="0.3">
      <c r="A125" s="7"/>
      <c r="B125" s="173" t="s">
        <v>217</v>
      </c>
      <c r="C125" s="174"/>
      <c r="D125" s="174"/>
      <c r="E125" s="174"/>
      <c r="F125" s="174"/>
      <c r="G125" s="167"/>
      <c r="H125" s="168"/>
      <c r="I125" s="8" t="s">
        <v>218</v>
      </c>
      <c r="J125" s="36"/>
      <c r="K125" s="7"/>
      <c r="L125" s="173" t="s">
        <v>217</v>
      </c>
      <c r="M125" s="174"/>
      <c r="N125" s="174"/>
      <c r="O125" s="174"/>
      <c r="P125" s="174"/>
      <c r="Q125" s="167"/>
      <c r="R125" s="168"/>
      <c r="S125" s="8" t="s">
        <v>218</v>
      </c>
    </row>
    <row r="126" spans="1:19" ht="18" customHeight="1" thickBot="1" x14ac:dyDescent="0.3">
      <c r="A126" s="7"/>
      <c r="B126" s="141" t="s">
        <v>219</v>
      </c>
      <c r="C126" s="142"/>
      <c r="D126" s="142"/>
      <c r="E126" s="142"/>
      <c r="F126" s="142"/>
      <c r="G126" s="143">
        <f>1748.85*12</f>
        <v>20986.199999999997</v>
      </c>
      <c r="H126" s="144"/>
      <c r="I126" s="8" t="s">
        <v>220</v>
      </c>
      <c r="J126" s="36"/>
      <c r="K126" s="7"/>
      <c r="L126" s="141" t="s">
        <v>219</v>
      </c>
      <c r="M126" s="142"/>
      <c r="N126" s="142"/>
      <c r="O126" s="142"/>
      <c r="P126" s="142"/>
      <c r="Q126" s="143">
        <f>1748.85*4*12</f>
        <v>83944.799999999988</v>
      </c>
      <c r="R126" s="144"/>
      <c r="S126" s="8" t="s">
        <v>220</v>
      </c>
    </row>
    <row r="127" spans="1:19" ht="18" customHeight="1" thickBot="1" x14ac:dyDescent="0.3">
      <c r="A127" s="7"/>
      <c r="B127" s="141" t="s">
        <v>221</v>
      </c>
      <c r="C127" s="142"/>
      <c r="D127" s="142"/>
      <c r="E127" s="142"/>
      <c r="F127" s="142"/>
      <c r="G127" s="143">
        <f>0.47*12*F118</f>
        <v>12363.444</v>
      </c>
      <c r="H127" s="144"/>
      <c r="I127" s="8" t="s">
        <v>222</v>
      </c>
      <c r="J127" s="37"/>
      <c r="K127" s="7"/>
      <c r="L127" s="141" t="s">
        <v>221</v>
      </c>
      <c r="M127" s="142"/>
      <c r="N127" s="142"/>
      <c r="O127" s="142"/>
      <c r="P127" s="142"/>
      <c r="Q127" s="143">
        <f>0.474*12*P118</f>
        <v>50799.527999999998</v>
      </c>
      <c r="R127" s="144"/>
      <c r="S127" s="8" t="s">
        <v>222</v>
      </c>
    </row>
    <row r="128" spans="1:19" ht="13.5" customHeight="1" x14ac:dyDescent="0.25">
      <c r="A128" s="9"/>
      <c r="B128" s="145" t="s">
        <v>223</v>
      </c>
      <c r="C128" s="146"/>
      <c r="D128" s="146"/>
      <c r="E128" s="146"/>
      <c r="F128" s="146"/>
      <c r="G128" s="86">
        <f>1.39*12*F118</f>
        <v>36564.227999999996</v>
      </c>
      <c r="H128" s="147"/>
      <c r="I128" s="152" t="s">
        <v>224</v>
      </c>
      <c r="J128" s="38"/>
      <c r="K128" s="9"/>
      <c r="L128" s="145" t="s">
        <v>223</v>
      </c>
      <c r="M128" s="146"/>
      <c r="N128" s="146"/>
      <c r="O128" s="146"/>
      <c r="P128" s="146"/>
      <c r="Q128" s="86">
        <f>1.98*12*P118</f>
        <v>212200.55999999997</v>
      </c>
      <c r="R128" s="147"/>
      <c r="S128" s="152" t="s">
        <v>224</v>
      </c>
    </row>
    <row r="129" spans="1:19" ht="13.5" customHeight="1" x14ac:dyDescent="0.25">
      <c r="A129" s="10"/>
      <c r="B129" s="155" t="s">
        <v>226</v>
      </c>
      <c r="C129" s="156"/>
      <c r="D129" s="156"/>
      <c r="E129" s="156"/>
      <c r="F129" s="156"/>
      <c r="G129" s="148"/>
      <c r="H129" s="149"/>
      <c r="I129" s="153"/>
      <c r="J129" s="38"/>
      <c r="K129" s="10"/>
      <c r="L129" s="155" t="s">
        <v>226</v>
      </c>
      <c r="M129" s="156"/>
      <c r="N129" s="156"/>
      <c r="O129" s="156"/>
      <c r="P129" s="156"/>
      <c r="Q129" s="148"/>
      <c r="R129" s="149"/>
      <c r="S129" s="153"/>
    </row>
    <row r="130" spans="1:19" ht="13.5" customHeight="1" thickBot="1" x14ac:dyDescent="0.3">
      <c r="A130" s="10"/>
      <c r="B130" s="157" t="s">
        <v>227</v>
      </c>
      <c r="C130" s="158"/>
      <c r="D130" s="158"/>
      <c r="E130" s="158"/>
      <c r="F130" s="158"/>
      <c r="G130" s="148"/>
      <c r="H130" s="149"/>
      <c r="I130" s="154"/>
      <c r="J130" s="39"/>
      <c r="K130" s="10"/>
      <c r="L130" s="157" t="s">
        <v>227</v>
      </c>
      <c r="M130" s="158"/>
      <c r="N130" s="158"/>
      <c r="O130" s="158"/>
      <c r="P130" s="158"/>
      <c r="Q130" s="148"/>
      <c r="R130" s="149"/>
      <c r="S130" s="154"/>
    </row>
    <row r="131" spans="1:19" ht="13.5" customHeight="1" thickBot="1" x14ac:dyDescent="0.3">
      <c r="A131" s="10"/>
      <c r="B131" s="159" t="s">
        <v>228</v>
      </c>
      <c r="C131" s="160"/>
      <c r="D131" s="160"/>
      <c r="E131" s="160"/>
      <c r="F131" s="160"/>
      <c r="G131" s="150"/>
      <c r="H131" s="151"/>
      <c r="I131" s="11" t="s">
        <v>229</v>
      </c>
      <c r="J131" s="36"/>
      <c r="K131" s="10"/>
      <c r="L131" s="159" t="s">
        <v>228</v>
      </c>
      <c r="M131" s="160"/>
      <c r="N131" s="160"/>
      <c r="O131" s="160"/>
      <c r="P131" s="160"/>
      <c r="Q131" s="150"/>
      <c r="R131" s="151"/>
      <c r="S131" s="11" t="s">
        <v>229</v>
      </c>
    </row>
    <row r="132" spans="1:19" ht="13.5" customHeight="1" x14ac:dyDescent="0.25">
      <c r="A132" s="12"/>
      <c r="B132" s="125" t="s">
        <v>230</v>
      </c>
      <c r="C132" s="126"/>
      <c r="D132" s="126"/>
      <c r="E132" s="126"/>
      <c r="F132" s="126"/>
      <c r="G132" s="86">
        <f>0.048*12*F118</f>
        <v>1262.6496000000002</v>
      </c>
      <c r="H132" s="87"/>
      <c r="I132" s="129" t="s">
        <v>220</v>
      </c>
      <c r="J132" s="36"/>
      <c r="K132" s="12"/>
      <c r="L132" s="125" t="s">
        <v>230</v>
      </c>
      <c r="M132" s="126"/>
      <c r="N132" s="126"/>
      <c r="O132" s="126"/>
      <c r="P132" s="126"/>
      <c r="Q132" s="86">
        <f>0.048*12*P118</f>
        <v>5144.2560000000003</v>
      </c>
      <c r="R132" s="87"/>
      <c r="S132" s="129" t="s">
        <v>220</v>
      </c>
    </row>
    <row r="133" spans="1:19" ht="13.5" customHeight="1" thickBot="1" x14ac:dyDescent="0.3">
      <c r="A133" s="7"/>
      <c r="B133" s="131" t="s">
        <v>231</v>
      </c>
      <c r="C133" s="132"/>
      <c r="D133" s="132"/>
      <c r="E133" s="132"/>
      <c r="F133" s="132"/>
      <c r="G133" s="127"/>
      <c r="H133" s="128"/>
      <c r="I133" s="130"/>
      <c r="J133" s="36"/>
      <c r="K133" s="7"/>
      <c r="L133" s="131" t="s">
        <v>231</v>
      </c>
      <c r="M133" s="132"/>
      <c r="N133" s="132"/>
      <c r="O133" s="132"/>
      <c r="P133" s="132"/>
      <c r="Q133" s="127"/>
      <c r="R133" s="128"/>
      <c r="S133" s="130"/>
    </row>
    <row r="134" spans="1:19" ht="15.75" customHeight="1" thickBot="1" x14ac:dyDescent="0.3">
      <c r="A134" s="13"/>
      <c r="B134" s="133" t="s">
        <v>232</v>
      </c>
      <c r="C134" s="134"/>
      <c r="D134" s="134"/>
      <c r="E134" s="134"/>
      <c r="F134" s="134"/>
      <c r="G134" s="135"/>
      <c r="H134" s="136"/>
      <c r="I134" s="14"/>
      <c r="J134" s="36"/>
      <c r="K134" s="13"/>
      <c r="L134" s="133" t="s">
        <v>232</v>
      </c>
      <c r="M134" s="134"/>
      <c r="N134" s="134"/>
      <c r="O134" s="134"/>
      <c r="P134" s="134"/>
      <c r="Q134" s="135"/>
      <c r="R134" s="136"/>
      <c r="S134" s="14"/>
    </row>
    <row r="135" spans="1:19" ht="15.75" customHeight="1" thickBot="1" x14ac:dyDescent="0.3">
      <c r="A135" s="13"/>
      <c r="B135" s="84" t="s">
        <v>233</v>
      </c>
      <c r="C135" s="85"/>
      <c r="D135" s="85"/>
      <c r="E135" s="85"/>
      <c r="F135" s="85"/>
      <c r="G135" s="86">
        <f>1.2*12*F118</f>
        <v>31566.239999999994</v>
      </c>
      <c r="H135" s="87"/>
      <c r="I135" s="299" t="s">
        <v>552</v>
      </c>
      <c r="J135" s="41"/>
      <c r="K135" s="13"/>
      <c r="L135" s="84" t="s">
        <v>233</v>
      </c>
      <c r="M135" s="85"/>
      <c r="N135" s="85"/>
      <c r="O135" s="85"/>
      <c r="P135" s="85"/>
      <c r="Q135" s="86">
        <f>1.2*12*P118</f>
        <v>128606.39999999999</v>
      </c>
      <c r="R135" s="87"/>
      <c r="S135" s="299" t="s">
        <v>549</v>
      </c>
    </row>
    <row r="136" spans="1:19" ht="36.75" customHeight="1" x14ac:dyDescent="0.25">
      <c r="A136" s="118"/>
      <c r="B136" s="121" t="s">
        <v>226</v>
      </c>
      <c r="C136" s="122"/>
      <c r="D136" s="122"/>
      <c r="E136" s="122"/>
      <c r="F136" s="122"/>
      <c r="G136" s="88"/>
      <c r="H136" s="89"/>
      <c r="I136" s="300"/>
      <c r="J136" s="41"/>
      <c r="K136" s="118"/>
      <c r="L136" s="121" t="s">
        <v>226</v>
      </c>
      <c r="M136" s="122"/>
      <c r="N136" s="122"/>
      <c r="O136" s="122"/>
      <c r="P136" s="122"/>
      <c r="Q136" s="88"/>
      <c r="R136" s="89"/>
      <c r="S136" s="300"/>
    </row>
    <row r="137" spans="1:19" ht="35.25" customHeight="1" x14ac:dyDescent="0.25">
      <c r="A137" s="119"/>
      <c r="B137" s="121" t="s">
        <v>227</v>
      </c>
      <c r="C137" s="122"/>
      <c r="D137" s="122"/>
      <c r="E137" s="122"/>
      <c r="F137" s="122"/>
      <c r="G137" s="88"/>
      <c r="H137" s="89"/>
      <c r="I137" s="300"/>
      <c r="J137" s="41"/>
      <c r="K137" s="119"/>
      <c r="L137" s="121" t="s">
        <v>227</v>
      </c>
      <c r="M137" s="122"/>
      <c r="N137" s="122"/>
      <c r="O137" s="122"/>
      <c r="P137" s="122"/>
      <c r="Q137" s="88"/>
      <c r="R137" s="89"/>
      <c r="S137" s="300"/>
    </row>
    <row r="138" spans="1:19" ht="35.25" customHeight="1" x14ac:dyDescent="0.25">
      <c r="A138" s="119"/>
      <c r="B138" s="121" t="s">
        <v>228</v>
      </c>
      <c r="C138" s="122"/>
      <c r="D138" s="122"/>
      <c r="E138" s="122"/>
      <c r="F138" s="122"/>
      <c r="G138" s="88"/>
      <c r="H138" s="89"/>
      <c r="I138" s="300"/>
      <c r="J138" s="42"/>
      <c r="K138" s="119"/>
      <c r="L138" s="121" t="s">
        <v>228</v>
      </c>
      <c r="M138" s="122"/>
      <c r="N138" s="122"/>
      <c r="O138" s="122"/>
      <c r="P138" s="122"/>
      <c r="Q138" s="88"/>
      <c r="R138" s="89"/>
      <c r="S138" s="300"/>
    </row>
    <row r="139" spans="1:19" ht="64.5" customHeight="1" thickBot="1" x14ac:dyDescent="0.3">
      <c r="A139" s="120"/>
      <c r="B139" s="123" t="s">
        <v>234</v>
      </c>
      <c r="C139" s="124"/>
      <c r="D139" s="124"/>
      <c r="E139" s="124"/>
      <c r="F139" s="124"/>
      <c r="G139" s="90"/>
      <c r="H139" s="91"/>
      <c r="I139" s="301"/>
      <c r="J139" s="43"/>
      <c r="K139" s="120"/>
      <c r="L139" s="123" t="s">
        <v>234</v>
      </c>
      <c r="M139" s="124"/>
      <c r="N139" s="124"/>
      <c r="O139" s="124"/>
      <c r="P139" s="124"/>
      <c r="Q139" s="90"/>
      <c r="R139" s="91"/>
      <c r="S139" s="301"/>
    </row>
    <row r="140" spans="1:19" ht="5.25" customHeight="1" thickBot="1" x14ac:dyDescent="0.3">
      <c r="A140" s="15"/>
      <c r="B140" s="137"/>
      <c r="C140" s="138"/>
      <c r="D140" s="138"/>
      <c r="E140" s="138"/>
      <c r="F140" s="138"/>
      <c r="G140" s="139"/>
      <c r="H140" s="140"/>
      <c r="I140" s="16"/>
      <c r="J140" s="44"/>
      <c r="K140" s="15"/>
      <c r="L140" s="137"/>
      <c r="M140" s="138"/>
      <c r="N140" s="138"/>
      <c r="O140" s="138"/>
      <c r="P140" s="138"/>
      <c r="Q140" s="139"/>
      <c r="R140" s="140"/>
      <c r="S140" s="16"/>
    </row>
    <row r="141" spans="1:19" ht="27.75" hidden="1" customHeight="1" x14ac:dyDescent="0.25">
      <c r="A141" s="15"/>
      <c r="B141" s="137" t="s">
        <v>235</v>
      </c>
      <c r="C141" s="138"/>
      <c r="D141" s="138"/>
      <c r="E141" s="138"/>
      <c r="F141" s="138"/>
      <c r="G141" s="139"/>
      <c r="H141" s="140"/>
      <c r="I141" s="16"/>
      <c r="J141" s="40"/>
      <c r="K141" s="15"/>
      <c r="L141" s="137" t="s">
        <v>235</v>
      </c>
      <c r="M141" s="138"/>
      <c r="N141" s="138"/>
      <c r="O141" s="138"/>
      <c r="P141" s="138"/>
      <c r="Q141" s="139"/>
      <c r="R141" s="140"/>
      <c r="S141" s="16"/>
    </row>
    <row r="142" spans="1:19" ht="27.75" customHeight="1" thickBot="1" x14ac:dyDescent="0.3">
      <c r="A142" s="17"/>
      <c r="B142" s="78" t="s">
        <v>237</v>
      </c>
      <c r="C142" s="79"/>
      <c r="D142" s="79"/>
      <c r="E142" s="79"/>
      <c r="F142" s="79"/>
      <c r="G142" s="86">
        <f>40823+13390</f>
        <v>54213</v>
      </c>
      <c r="H142" s="87"/>
      <c r="I142" s="108" t="s">
        <v>229</v>
      </c>
      <c r="J142" s="62"/>
      <c r="K142" s="17"/>
      <c r="L142" s="78" t="s">
        <v>237</v>
      </c>
      <c r="M142" s="79"/>
      <c r="N142" s="79"/>
      <c r="O142" s="79"/>
      <c r="P142" s="79"/>
      <c r="Q142" s="86">
        <f>10552+26101</f>
        <v>36653</v>
      </c>
      <c r="R142" s="87"/>
      <c r="S142" s="108" t="s">
        <v>229</v>
      </c>
    </row>
    <row r="143" spans="1:19" ht="15.75" customHeight="1" thickBot="1" x14ac:dyDescent="0.3">
      <c r="A143" s="18"/>
      <c r="B143" s="110" t="s">
        <v>238</v>
      </c>
      <c r="C143" s="111"/>
      <c r="D143" s="111"/>
      <c r="E143" s="111"/>
      <c r="F143" s="111"/>
      <c r="G143" s="90"/>
      <c r="H143" s="91"/>
      <c r="I143" s="109"/>
      <c r="J143" s="46"/>
      <c r="K143" s="18"/>
      <c r="L143" s="110" t="s">
        <v>238</v>
      </c>
      <c r="M143" s="111"/>
      <c r="N143" s="111"/>
      <c r="O143" s="111"/>
      <c r="P143" s="111"/>
      <c r="Q143" s="90"/>
      <c r="R143" s="91"/>
      <c r="S143" s="109"/>
    </row>
    <row r="144" spans="1:19" ht="25.5" customHeight="1" thickBot="1" x14ac:dyDescent="0.3">
      <c r="A144" s="19"/>
      <c r="B144" s="112" t="s">
        <v>239</v>
      </c>
      <c r="C144" s="113"/>
      <c r="D144" s="113"/>
      <c r="E144" s="113"/>
      <c r="F144" s="113"/>
      <c r="G144" s="114">
        <f>SUM(G123:H143)</f>
        <v>185365.37759999998</v>
      </c>
      <c r="H144" s="115"/>
      <c r="I144" s="20"/>
      <c r="J144" s="47"/>
      <c r="K144" s="19"/>
      <c r="L144" s="112" t="s">
        <v>239</v>
      </c>
      <c r="M144" s="113"/>
      <c r="N144" s="113"/>
      <c r="O144" s="113"/>
      <c r="P144" s="113"/>
      <c r="Q144" s="114">
        <f>SUM(Q123:R143)</f>
        <v>672747.9439999999</v>
      </c>
      <c r="R144" s="115"/>
      <c r="S144" s="20"/>
    </row>
    <row r="145" spans="1:19" ht="25.5" customHeight="1" thickBot="1" x14ac:dyDescent="0.3">
      <c r="A145" s="21"/>
      <c r="B145" s="101" t="s">
        <v>240</v>
      </c>
      <c r="C145" s="102"/>
      <c r="D145" s="102"/>
      <c r="E145" s="102"/>
      <c r="F145" s="102"/>
      <c r="G145" s="116">
        <f>G144*1.2</f>
        <v>222438.45311999996</v>
      </c>
      <c r="H145" s="117"/>
      <c r="I145" s="22"/>
      <c r="J145" s="47"/>
      <c r="K145" s="21"/>
      <c r="L145" s="101" t="s">
        <v>240</v>
      </c>
      <c r="M145" s="102"/>
      <c r="N145" s="102"/>
      <c r="O145" s="102"/>
      <c r="P145" s="102"/>
      <c r="Q145" s="116">
        <f>Q144*1.2</f>
        <v>807297.53279999981</v>
      </c>
      <c r="R145" s="117"/>
      <c r="S145" s="22"/>
    </row>
    <row r="146" spans="1:19" ht="25.5" customHeight="1" thickBot="1" x14ac:dyDescent="0.3">
      <c r="A146" s="24"/>
      <c r="B146" s="96" t="s">
        <v>443</v>
      </c>
      <c r="C146" s="97"/>
      <c r="D146" s="97"/>
      <c r="E146" s="97"/>
      <c r="F146" s="97"/>
      <c r="G146" s="311">
        <v>211610.32</v>
      </c>
      <c r="H146" s="312"/>
      <c r="I146" s="313"/>
      <c r="J146" s="47"/>
      <c r="K146" s="24"/>
      <c r="L146" s="96" t="s">
        <v>241</v>
      </c>
      <c r="M146" s="97"/>
      <c r="N146" s="97"/>
      <c r="O146" s="97"/>
      <c r="P146" s="97"/>
      <c r="Q146" s="311">
        <v>801774.3</v>
      </c>
      <c r="R146" s="312"/>
      <c r="S146" s="313"/>
    </row>
    <row r="147" spans="1:19" ht="25.5" customHeight="1" thickBot="1" x14ac:dyDescent="0.3">
      <c r="A147" s="19"/>
      <c r="B147" s="101" t="s">
        <v>242</v>
      </c>
      <c r="C147" s="102"/>
      <c r="D147" s="102"/>
      <c r="E147" s="102"/>
      <c r="F147" s="102"/>
      <c r="G147" s="307">
        <v>223568.29</v>
      </c>
      <c r="H147" s="308"/>
      <c r="I147" s="309"/>
      <c r="J147" s="48"/>
      <c r="K147" s="19"/>
      <c r="L147" s="101" t="s">
        <v>242</v>
      </c>
      <c r="M147" s="102"/>
      <c r="N147" s="102"/>
      <c r="O147" s="102"/>
      <c r="P147" s="102"/>
      <c r="Q147" s="307">
        <v>822446.75</v>
      </c>
      <c r="R147" s="308"/>
      <c r="S147" s="309"/>
    </row>
    <row r="148" spans="1:19" ht="25.5" customHeight="1" thickBot="1" x14ac:dyDescent="0.3">
      <c r="A148" s="19"/>
      <c r="B148" s="106" t="s">
        <v>444</v>
      </c>
      <c r="C148" s="107"/>
      <c r="D148" s="107"/>
      <c r="E148" s="107"/>
      <c r="F148" s="107"/>
      <c r="G148" s="307">
        <v>20971.150000000001</v>
      </c>
      <c r="H148" s="308"/>
      <c r="I148" s="309"/>
      <c r="J148" s="49"/>
      <c r="K148" s="19"/>
      <c r="L148" s="106" t="s">
        <v>243</v>
      </c>
      <c r="M148" s="107"/>
      <c r="N148" s="107"/>
      <c r="O148" s="107"/>
      <c r="P148" s="107"/>
      <c r="Q148" s="307">
        <v>102992.34</v>
      </c>
      <c r="R148" s="308"/>
      <c r="S148" s="309"/>
    </row>
    <row r="149" spans="1:19" ht="28.5" customHeight="1" x14ac:dyDescent="0.25">
      <c r="A149" s="4"/>
      <c r="B149" s="310"/>
      <c r="C149" s="310"/>
      <c r="D149" s="310"/>
      <c r="E149" s="310"/>
      <c r="F149" s="310"/>
      <c r="G149" s="310"/>
      <c r="H149" s="310"/>
      <c r="I149" s="310"/>
      <c r="K149" s="4"/>
      <c r="L149" s="26"/>
      <c r="M149" s="26"/>
      <c r="N149" s="26"/>
      <c r="O149" s="26"/>
      <c r="P149" s="26"/>
      <c r="Q149" s="27"/>
      <c r="R149" s="3"/>
      <c r="S149" s="3"/>
    </row>
    <row r="150" spans="1:19" x14ac:dyDescent="0.25">
      <c r="E150" s="50"/>
      <c r="I150" s="5"/>
      <c r="O150" s="50"/>
      <c r="S150" s="5"/>
    </row>
    <row r="151" spans="1:19" x14ac:dyDescent="0.25">
      <c r="A151" s="3"/>
      <c r="I151" s="5"/>
      <c r="K151" s="3"/>
      <c r="S151" s="5"/>
    </row>
    <row r="152" spans="1:19" ht="15.75" x14ac:dyDescent="0.25">
      <c r="A152" s="30"/>
      <c r="K152" s="30"/>
    </row>
    <row r="153" spans="1:19" ht="15.75" x14ac:dyDescent="0.25">
      <c r="A153" s="30"/>
      <c r="K153" s="30"/>
    </row>
    <row r="154" spans="1:19" x14ac:dyDescent="0.25">
      <c r="A154" s="3"/>
      <c r="B154" s="3"/>
      <c r="C154" s="3"/>
      <c r="D154" s="3"/>
      <c r="E154" s="4" t="s">
        <v>204</v>
      </c>
      <c r="F154" s="3"/>
      <c r="G154" s="3"/>
      <c r="H154" s="3"/>
      <c r="I154" s="3"/>
      <c r="K154" s="3"/>
      <c r="L154" s="3"/>
      <c r="M154" s="3"/>
      <c r="N154" s="3"/>
      <c r="O154" s="4" t="s">
        <v>204</v>
      </c>
      <c r="P154" s="3"/>
      <c r="Q154" s="3"/>
      <c r="R154" s="3"/>
      <c r="S154" s="3"/>
    </row>
    <row r="155" spans="1:19" x14ac:dyDescent="0.25">
      <c r="A155" s="3" t="s">
        <v>205</v>
      </c>
      <c r="B155" s="3"/>
      <c r="C155" s="3"/>
      <c r="D155" s="3" t="s">
        <v>328</v>
      </c>
      <c r="E155" s="3"/>
      <c r="F155" s="3"/>
      <c r="G155" s="3"/>
      <c r="H155" s="3"/>
      <c r="I155" s="3"/>
      <c r="K155" s="3" t="s">
        <v>205</v>
      </c>
      <c r="L155" s="3"/>
      <c r="M155" s="3"/>
      <c r="N155" s="3" t="s">
        <v>329</v>
      </c>
      <c r="O155" s="3"/>
      <c r="P155" s="3"/>
      <c r="Q155" s="3"/>
      <c r="R155" s="3"/>
      <c r="S155" s="3"/>
    </row>
    <row r="156" spans="1:19" x14ac:dyDescent="0.25">
      <c r="A156" s="3"/>
      <c r="B156" s="5" t="s">
        <v>440</v>
      </c>
      <c r="C156" s="3"/>
      <c r="D156" s="3"/>
      <c r="E156" s="3"/>
      <c r="F156" s="3"/>
      <c r="G156" s="3"/>
      <c r="H156" s="3"/>
      <c r="I156" s="3"/>
      <c r="K156" s="3"/>
      <c r="L156" s="5" t="s">
        <v>440</v>
      </c>
      <c r="M156" s="3"/>
      <c r="N156" s="3"/>
      <c r="O156" s="3"/>
      <c r="P156" s="3"/>
      <c r="Q156" s="3"/>
      <c r="R156" s="3"/>
      <c r="S156" s="3"/>
    </row>
    <row r="157" spans="1:19" ht="15.75" thickBot="1" x14ac:dyDescent="0.3">
      <c r="A157" s="3"/>
      <c r="B157" s="5" t="s">
        <v>206</v>
      </c>
      <c r="C157" s="3"/>
      <c r="D157" s="3"/>
      <c r="E157" s="3"/>
      <c r="F157" s="3">
        <v>18316.900000000001</v>
      </c>
      <c r="G157" s="3" t="s">
        <v>207</v>
      </c>
      <c r="H157" s="3"/>
      <c r="I157" s="3"/>
      <c r="J157" s="3"/>
      <c r="K157" s="3"/>
      <c r="L157" s="5" t="s">
        <v>206</v>
      </c>
      <c r="M157" s="3"/>
      <c r="N157" s="3"/>
      <c r="O157" s="3"/>
      <c r="P157" s="3">
        <v>15447.2</v>
      </c>
      <c r="Q157" s="3" t="s">
        <v>207</v>
      </c>
      <c r="R157" s="65"/>
      <c r="S157" s="3"/>
    </row>
    <row r="158" spans="1:19" ht="15.75" customHeight="1" thickBot="1" x14ac:dyDescent="0.3">
      <c r="A158" s="175" t="s">
        <v>209</v>
      </c>
      <c r="B158" s="177" t="s">
        <v>210</v>
      </c>
      <c r="C158" s="178"/>
      <c r="D158" s="178"/>
      <c r="E158" s="178"/>
      <c r="F158" s="178"/>
      <c r="G158" s="180" t="s">
        <v>442</v>
      </c>
      <c r="H158" s="181"/>
      <c r="I158" s="175" t="s">
        <v>212</v>
      </c>
      <c r="J158" s="3"/>
      <c r="K158" s="175" t="s">
        <v>209</v>
      </c>
      <c r="L158" s="177" t="s">
        <v>210</v>
      </c>
      <c r="M158" s="178"/>
      <c r="N158" s="178"/>
      <c r="O158" s="178"/>
      <c r="P158" s="178"/>
      <c r="Q158" s="180" t="s">
        <v>442</v>
      </c>
      <c r="R158" s="181"/>
      <c r="S158" s="175" t="s">
        <v>212</v>
      </c>
    </row>
    <row r="159" spans="1:19" ht="66" customHeight="1" thickBot="1" x14ac:dyDescent="0.3">
      <c r="A159" s="176"/>
      <c r="B159" s="179"/>
      <c r="C159" s="179"/>
      <c r="D159" s="179"/>
      <c r="E159" s="179"/>
      <c r="F159" s="179"/>
      <c r="G159" s="182"/>
      <c r="H159" s="183"/>
      <c r="I159" s="184"/>
      <c r="J159" s="31"/>
      <c r="K159" s="176"/>
      <c r="L159" s="179"/>
      <c r="M159" s="179"/>
      <c r="N159" s="179"/>
      <c r="O159" s="179"/>
      <c r="P159" s="179"/>
      <c r="Q159" s="182"/>
      <c r="R159" s="183"/>
      <c r="S159" s="184"/>
    </row>
    <row r="160" spans="1:19" ht="19.5" customHeight="1" thickBot="1" x14ac:dyDescent="0.3">
      <c r="A160" s="185" t="s">
        <v>213</v>
      </c>
      <c r="B160" s="187" t="s">
        <v>354</v>
      </c>
      <c r="C160" s="188"/>
      <c r="D160" s="188"/>
      <c r="E160" s="188"/>
      <c r="F160" s="188"/>
      <c r="G160" s="190">
        <v>234591.1</v>
      </c>
      <c r="H160" s="191"/>
      <c r="I160" s="192"/>
      <c r="J160" s="32"/>
      <c r="K160" s="185" t="s">
        <v>213</v>
      </c>
      <c r="L160" s="187" t="s">
        <v>354</v>
      </c>
      <c r="M160" s="188"/>
      <c r="N160" s="188"/>
      <c r="O160" s="188"/>
      <c r="P160" s="188"/>
      <c r="Q160" s="190">
        <v>323869.53999999998</v>
      </c>
      <c r="R160" s="191"/>
      <c r="S160" s="192"/>
    </row>
    <row r="161" spans="1:19" ht="15.75" hidden="1" customHeight="1" x14ac:dyDescent="0.25">
      <c r="A161" s="186"/>
      <c r="B161" s="189"/>
      <c r="C161" s="189"/>
      <c r="D161" s="189"/>
      <c r="E161" s="189"/>
      <c r="F161" s="189"/>
      <c r="G161" s="193"/>
      <c r="H161" s="194"/>
      <c r="I161" s="128"/>
      <c r="J161" s="33"/>
      <c r="K161" s="186"/>
      <c r="L161" s="189"/>
      <c r="M161" s="189"/>
      <c r="N161" s="189"/>
      <c r="O161" s="189"/>
      <c r="P161" s="189"/>
      <c r="Q161" s="193"/>
      <c r="R161" s="194"/>
      <c r="S161" s="128"/>
    </row>
    <row r="162" spans="1:19" ht="16.5" customHeight="1" x14ac:dyDescent="0.25">
      <c r="A162" s="6"/>
      <c r="B162" s="161" t="s">
        <v>214</v>
      </c>
      <c r="C162" s="162"/>
      <c r="D162" s="162"/>
      <c r="E162" s="162"/>
      <c r="F162" s="162"/>
      <c r="G162" s="163">
        <f>1.63*12*F157</f>
        <v>358278.56400000001</v>
      </c>
      <c r="H162" s="164"/>
      <c r="I162" s="169" t="s">
        <v>215</v>
      </c>
      <c r="J162" s="36"/>
      <c r="K162" s="6"/>
      <c r="L162" s="161" t="s">
        <v>214</v>
      </c>
      <c r="M162" s="162"/>
      <c r="N162" s="162"/>
      <c r="O162" s="162"/>
      <c r="P162" s="162"/>
      <c r="Q162" s="163">
        <f>1.41*12*P157</f>
        <v>261366.62399999998</v>
      </c>
      <c r="R162" s="164"/>
      <c r="S162" s="169" t="s">
        <v>215</v>
      </c>
    </row>
    <row r="163" spans="1:19" ht="31.5" customHeight="1" thickBot="1" x14ac:dyDescent="0.3">
      <c r="A163" s="7"/>
      <c r="B163" s="171" t="s">
        <v>216</v>
      </c>
      <c r="C163" s="172"/>
      <c r="D163" s="172"/>
      <c r="E163" s="172"/>
      <c r="F163" s="172"/>
      <c r="G163" s="165"/>
      <c r="H163" s="166"/>
      <c r="I163" s="170"/>
      <c r="J163" s="35"/>
      <c r="K163" s="7"/>
      <c r="L163" s="171" t="s">
        <v>216</v>
      </c>
      <c r="M163" s="172"/>
      <c r="N163" s="172"/>
      <c r="O163" s="172"/>
      <c r="P163" s="172"/>
      <c r="Q163" s="165"/>
      <c r="R163" s="166"/>
      <c r="S163" s="170"/>
    </row>
    <row r="164" spans="1:19" ht="13.5" customHeight="1" thickBot="1" x14ac:dyDescent="0.3">
      <c r="A164" s="7"/>
      <c r="B164" s="173" t="s">
        <v>217</v>
      </c>
      <c r="C164" s="174"/>
      <c r="D164" s="174"/>
      <c r="E164" s="174"/>
      <c r="F164" s="174"/>
      <c r="G164" s="167"/>
      <c r="H164" s="168"/>
      <c r="I164" s="8" t="s">
        <v>218</v>
      </c>
      <c r="J164" s="36"/>
      <c r="K164" s="7"/>
      <c r="L164" s="173" t="s">
        <v>217</v>
      </c>
      <c r="M164" s="174"/>
      <c r="N164" s="174"/>
      <c r="O164" s="174"/>
      <c r="P164" s="174"/>
      <c r="Q164" s="167"/>
      <c r="R164" s="168"/>
      <c r="S164" s="8" t="s">
        <v>218</v>
      </c>
    </row>
    <row r="165" spans="1:19" ht="21" customHeight="1" thickBot="1" x14ac:dyDescent="0.3">
      <c r="A165" s="7"/>
      <c r="B165" s="141" t="s">
        <v>219</v>
      </c>
      <c r="C165" s="142"/>
      <c r="D165" s="142"/>
      <c r="E165" s="142"/>
      <c r="F165" s="142"/>
      <c r="G165" s="143">
        <f>1748.85*12*9</f>
        <v>188875.8</v>
      </c>
      <c r="H165" s="144"/>
      <c r="I165" s="8" t="s">
        <v>220</v>
      </c>
      <c r="J165" s="36"/>
      <c r="K165" s="7"/>
      <c r="L165" s="141" t="s">
        <v>219</v>
      </c>
      <c r="M165" s="142"/>
      <c r="N165" s="142"/>
      <c r="O165" s="142"/>
      <c r="P165" s="142"/>
      <c r="Q165" s="143">
        <f>1748.85*8*12</f>
        <v>167889.59999999998</v>
      </c>
      <c r="R165" s="144"/>
      <c r="S165" s="8" t="s">
        <v>220</v>
      </c>
    </row>
    <row r="166" spans="1:19" ht="21" customHeight="1" thickBot="1" x14ac:dyDescent="0.3">
      <c r="A166" s="7"/>
      <c r="B166" s="141" t="s">
        <v>221</v>
      </c>
      <c r="C166" s="142"/>
      <c r="D166" s="142"/>
      <c r="E166" s="142"/>
      <c r="F166" s="142"/>
      <c r="G166" s="143">
        <f>0.474*12*F157</f>
        <v>104186.5272</v>
      </c>
      <c r="H166" s="144"/>
      <c r="I166" s="8" t="s">
        <v>222</v>
      </c>
      <c r="J166" s="37"/>
      <c r="K166" s="7"/>
      <c r="L166" s="141" t="s">
        <v>221</v>
      </c>
      <c r="M166" s="142"/>
      <c r="N166" s="142"/>
      <c r="O166" s="142"/>
      <c r="P166" s="142"/>
      <c r="Q166" s="143">
        <f>0.474*12*P157</f>
        <v>87863.673599999995</v>
      </c>
      <c r="R166" s="144"/>
      <c r="S166" s="8" t="s">
        <v>222</v>
      </c>
    </row>
    <row r="167" spans="1:19" ht="13.5" customHeight="1" x14ac:dyDescent="0.25">
      <c r="A167" s="9"/>
      <c r="B167" s="145" t="s">
        <v>223</v>
      </c>
      <c r="C167" s="146"/>
      <c r="D167" s="146"/>
      <c r="E167" s="146"/>
      <c r="F167" s="146"/>
      <c r="G167" s="86">
        <f>1.87*12*F157</f>
        <v>411031.23600000003</v>
      </c>
      <c r="H167" s="147"/>
      <c r="I167" s="152" t="s">
        <v>224</v>
      </c>
      <c r="J167" s="38"/>
      <c r="K167" s="9"/>
      <c r="L167" s="145" t="s">
        <v>223</v>
      </c>
      <c r="M167" s="146"/>
      <c r="N167" s="146"/>
      <c r="O167" s="146"/>
      <c r="P167" s="146"/>
      <c r="Q167" s="86">
        <f>1.86*12*P157</f>
        <v>344781.50400000002</v>
      </c>
      <c r="R167" s="147"/>
      <c r="S167" s="152" t="s">
        <v>224</v>
      </c>
    </row>
    <row r="168" spans="1:19" ht="13.5" customHeight="1" x14ac:dyDescent="0.25">
      <c r="A168" s="10"/>
      <c r="B168" s="155" t="s">
        <v>226</v>
      </c>
      <c r="C168" s="156"/>
      <c r="D168" s="156"/>
      <c r="E168" s="156"/>
      <c r="F168" s="156"/>
      <c r="G168" s="148"/>
      <c r="H168" s="149"/>
      <c r="I168" s="153"/>
      <c r="J168" s="38"/>
      <c r="K168" s="10"/>
      <c r="L168" s="155" t="s">
        <v>226</v>
      </c>
      <c r="M168" s="156"/>
      <c r="N168" s="156"/>
      <c r="O168" s="156"/>
      <c r="P168" s="156"/>
      <c r="Q168" s="148"/>
      <c r="R168" s="149"/>
      <c r="S168" s="153"/>
    </row>
    <row r="169" spans="1:19" ht="13.5" customHeight="1" thickBot="1" x14ac:dyDescent="0.3">
      <c r="A169" s="10"/>
      <c r="B169" s="157" t="s">
        <v>227</v>
      </c>
      <c r="C169" s="158"/>
      <c r="D169" s="158"/>
      <c r="E169" s="158"/>
      <c r="F169" s="158"/>
      <c r="G169" s="148"/>
      <c r="H169" s="149"/>
      <c r="I169" s="154"/>
      <c r="J169" s="39"/>
      <c r="K169" s="10"/>
      <c r="L169" s="157" t="s">
        <v>227</v>
      </c>
      <c r="M169" s="158"/>
      <c r="N169" s="158"/>
      <c r="O169" s="158"/>
      <c r="P169" s="158"/>
      <c r="Q169" s="148"/>
      <c r="R169" s="149"/>
      <c r="S169" s="154"/>
    </row>
    <row r="170" spans="1:19" ht="13.5" customHeight="1" thickBot="1" x14ac:dyDescent="0.3">
      <c r="A170" s="10"/>
      <c r="B170" s="159" t="s">
        <v>228</v>
      </c>
      <c r="C170" s="160"/>
      <c r="D170" s="160"/>
      <c r="E170" s="160"/>
      <c r="F170" s="160"/>
      <c r="G170" s="150"/>
      <c r="H170" s="151"/>
      <c r="I170" s="11" t="s">
        <v>229</v>
      </c>
      <c r="J170" s="36"/>
      <c r="K170" s="10"/>
      <c r="L170" s="159" t="s">
        <v>228</v>
      </c>
      <c r="M170" s="160"/>
      <c r="N170" s="160"/>
      <c r="O170" s="160"/>
      <c r="P170" s="160"/>
      <c r="Q170" s="150"/>
      <c r="R170" s="151"/>
      <c r="S170" s="11" t="s">
        <v>229</v>
      </c>
    </row>
    <row r="171" spans="1:19" ht="13.5" customHeight="1" x14ac:dyDescent="0.25">
      <c r="A171" s="12"/>
      <c r="B171" s="125" t="s">
        <v>230</v>
      </c>
      <c r="C171" s="126"/>
      <c r="D171" s="126"/>
      <c r="E171" s="126"/>
      <c r="F171" s="126"/>
      <c r="G171" s="86">
        <f>0.048*12*F157</f>
        <v>10550.534400000002</v>
      </c>
      <c r="H171" s="87"/>
      <c r="I171" s="129" t="s">
        <v>220</v>
      </c>
      <c r="J171" s="36"/>
      <c r="K171" s="12"/>
      <c r="L171" s="125" t="s">
        <v>230</v>
      </c>
      <c r="M171" s="126"/>
      <c r="N171" s="126"/>
      <c r="O171" s="126"/>
      <c r="P171" s="126"/>
      <c r="Q171" s="86">
        <f>0.048*12*P157</f>
        <v>8897.5872000000018</v>
      </c>
      <c r="R171" s="87"/>
      <c r="S171" s="129" t="s">
        <v>220</v>
      </c>
    </row>
    <row r="172" spans="1:19" ht="13.5" customHeight="1" thickBot="1" x14ac:dyDescent="0.3">
      <c r="A172" s="7"/>
      <c r="B172" s="131" t="s">
        <v>231</v>
      </c>
      <c r="C172" s="132"/>
      <c r="D172" s="132"/>
      <c r="E172" s="132"/>
      <c r="F172" s="132"/>
      <c r="G172" s="127"/>
      <c r="H172" s="128"/>
      <c r="I172" s="130"/>
      <c r="J172" s="36"/>
      <c r="K172" s="7"/>
      <c r="L172" s="131" t="s">
        <v>231</v>
      </c>
      <c r="M172" s="132"/>
      <c r="N172" s="132"/>
      <c r="O172" s="132"/>
      <c r="P172" s="132"/>
      <c r="Q172" s="127"/>
      <c r="R172" s="128"/>
      <c r="S172" s="130"/>
    </row>
    <row r="173" spans="1:19" ht="15.75" customHeight="1" thickBot="1" x14ac:dyDescent="0.3">
      <c r="A173" s="13"/>
      <c r="B173" s="133" t="s">
        <v>232</v>
      </c>
      <c r="C173" s="134"/>
      <c r="D173" s="134"/>
      <c r="E173" s="134"/>
      <c r="F173" s="134"/>
      <c r="G173" s="135"/>
      <c r="H173" s="136"/>
      <c r="I173" s="14"/>
      <c r="J173" s="36"/>
      <c r="K173" s="13"/>
      <c r="L173" s="133" t="s">
        <v>232</v>
      </c>
      <c r="M173" s="134"/>
      <c r="N173" s="134"/>
      <c r="O173" s="134"/>
      <c r="P173" s="134"/>
      <c r="Q173" s="135"/>
      <c r="R173" s="136"/>
      <c r="S173" s="14"/>
    </row>
    <row r="174" spans="1:19" ht="51.75" customHeight="1" thickBot="1" x14ac:dyDescent="0.3">
      <c r="A174" s="13"/>
      <c r="B174" s="84" t="s">
        <v>233</v>
      </c>
      <c r="C174" s="85"/>
      <c r="D174" s="85"/>
      <c r="E174" s="85"/>
      <c r="F174" s="85"/>
      <c r="G174" s="86">
        <f>0.98*12*F157</f>
        <v>215406.74400000001</v>
      </c>
      <c r="H174" s="87"/>
      <c r="I174" s="317" t="s">
        <v>550</v>
      </c>
      <c r="J174" s="41"/>
      <c r="K174" s="13"/>
      <c r="L174" s="84" t="s">
        <v>233</v>
      </c>
      <c r="M174" s="85"/>
      <c r="N174" s="85"/>
      <c r="O174" s="85"/>
      <c r="P174" s="85"/>
      <c r="Q174" s="86">
        <f>1.12*12*P157</f>
        <v>207610.36800000002</v>
      </c>
      <c r="R174" s="87"/>
      <c r="S174" s="317" t="s">
        <v>551</v>
      </c>
    </row>
    <row r="175" spans="1:19" ht="53.25" customHeight="1" x14ac:dyDescent="0.25">
      <c r="A175" s="118"/>
      <c r="B175" s="121" t="s">
        <v>226</v>
      </c>
      <c r="C175" s="122"/>
      <c r="D175" s="122"/>
      <c r="E175" s="122"/>
      <c r="F175" s="122"/>
      <c r="G175" s="88"/>
      <c r="H175" s="89"/>
      <c r="I175" s="318"/>
      <c r="J175" s="41"/>
      <c r="K175" s="118"/>
      <c r="L175" s="121" t="s">
        <v>226</v>
      </c>
      <c r="M175" s="122"/>
      <c r="N175" s="122"/>
      <c r="O175" s="122"/>
      <c r="P175" s="122"/>
      <c r="Q175" s="88"/>
      <c r="R175" s="89"/>
      <c r="S175" s="318"/>
    </row>
    <row r="176" spans="1:19" ht="52.5" customHeight="1" x14ac:dyDescent="0.25">
      <c r="A176" s="119"/>
      <c r="B176" s="121" t="s">
        <v>227</v>
      </c>
      <c r="C176" s="122"/>
      <c r="D176" s="122"/>
      <c r="E176" s="122"/>
      <c r="F176" s="122"/>
      <c r="G176" s="88"/>
      <c r="H176" s="89"/>
      <c r="I176" s="318"/>
      <c r="J176" s="41"/>
      <c r="K176" s="119"/>
      <c r="L176" s="121" t="s">
        <v>227</v>
      </c>
      <c r="M176" s="122"/>
      <c r="N176" s="122"/>
      <c r="O176" s="122"/>
      <c r="P176" s="122"/>
      <c r="Q176" s="88"/>
      <c r="R176" s="89"/>
      <c r="S176" s="318"/>
    </row>
    <row r="177" spans="1:19" ht="48.75" customHeight="1" x14ac:dyDescent="0.25">
      <c r="A177" s="119"/>
      <c r="B177" s="121" t="s">
        <v>228</v>
      </c>
      <c r="C177" s="122"/>
      <c r="D177" s="122"/>
      <c r="E177" s="122"/>
      <c r="F177" s="122"/>
      <c r="G177" s="88"/>
      <c r="H177" s="89"/>
      <c r="I177" s="318"/>
      <c r="J177" s="41"/>
      <c r="K177" s="119"/>
      <c r="L177" s="121" t="s">
        <v>228</v>
      </c>
      <c r="M177" s="122"/>
      <c r="N177" s="122"/>
      <c r="O177" s="122"/>
      <c r="P177" s="122"/>
      <c r="Q177" s="88"/>
      <c r="R177" s="89"/>
      <c r="S177" s="318"/>
    </row>
    <row r="178" spans="1:19" ht="50.25" customHeight="1" thickBot="1" x14ac:dyDescent="0.3">
      <c r="A178" s="120"/>
      <c r="B178" s="123" t="s">
        <v>234</v>
      </c>
      <c r="C178" s="124"/>
      <c r="D178" s="124"/>
      <c r="E178" s="124"/>
      <c r="F178" s="124"/>
      <c r="G178" s="90"/>
      <c r="H178" s="91"/>
      <c r="I178" s="319"/>
      <c r="J178" s="42"/>
      <c r="K178" s="120"/>
      <c r="L178" s="123" t="s">
        <v>234</v>
      </c>
      <c r="M178" s="124"/>
      <c r="N178" s="124"/>
      <c r="O178" s="124"/>
      <c r="P178" s="124"/>
      <c r="Q178" s="90"/>
      <c r="R178" s="91"/>
      <c r="S178" s="319"/>
    </row>
    <row r="179" spans="1:19" ht="2.25" customHeight="1" thickBot="1" x14ac:dyDescent="0.3">
      <c r="A179" s="15"/>
      <c r="B179" s="137"/>
      <c r="C179" s="138"/>
      <c r="D179" s="138"/>
      <c r="E179" s="138"/>
      <c r="F179" s="138"/>
      <c r="G179" s="139"/>
      <c r="H179" s="140"/>
      <c r="I179" s="16"/>
      <c r="J179" s="43"/>
      <c r="K179" s="15"/>
      <c r="L179" s="137"/>
      <c r="M179" s="138"/>
      <c r="N179" s="138"/>
      <c r="O179" s="138"/>
      <c r="P179" s="138"/>
      <c r="Q179" s="139"/>
      <c r="R179" s="140"/>
      <c r="S179" s="16"/>
    </row>
    <row r="180" spans="1:19" ht="26.25" hidden="1" customHeight="1" x14ac:dyDescent="0.25">
      <c r="A180" s="15"/>
      <c r="B180" s="137" t="s">
        <v>235</v>
      </c>
      <c r="C180" s="138"/>
      <c r="D180" s="138"/>
      <c r="E180" s="138"/>
      <c r="F180" s="138"/>
      <c r="G180" s="139"/>
      <c r="H180" s="140"/>
      <c r="I180" s="16"/>
      <c r="J180" s="44"/>
      <c r="K180" s="15"/>
      <c r="L180" s="137" t="s">
        <v>235</v>
      </c>
      <c r="M180" s="138"/>
      <c r="N180" s="138"/>
      <c r="O180" s="138"/>
      <c r="P180" s="138"/>
      <c r="Q180" s="139"/>
      <c r="R180" s="140"/>
      <c r="S180" s="16"/>
    </row>
    <row r="181" spans="1:19" ht="27.75" customHeight="1" thickBot="1" x14ac:dyDescent="0.3">
      <c r="A181" s="17"/>
      <c r="B181" s="78" t="s">
        <v>237</v>
      </c>
      <c r="C181" s="79"/>
      <c r="D181" s="79"/>
      <c r="E181" s="79"/>
      <c r="F181" s="79"/>
      <c r="G181" s="86">
        <f>23450+58152</f>
        <v>81602</v>
      </c>
      <c r="H181" s="87"/>
      <c r="I181" s="108" t="s">
        <v>229</v>
      </c>
      <c r="J181" s="40"/>
      <c r="K181" s="17"/>
      <c r="L181" s="78" t="s">
        <v>237</v>
      </c>
      <c r="M181" s="79"/>
      <c r="N181" s="79"/>
      <c r="O181" s="79"/>
      <c r="P181" s="79"/>
      <c r="Q181" s="86">
        <f>24658+52192</f>
        <v>76850</v>
      </c>
      <c r="R181" s="87"/>
      <c r="S181" s="108" t="s">
        <v>229</v>
      </c>
    </row>
    <row r="182" spans="1:19" ht="15.75" thickBot="1" x14ac:dyDescent="0.3">
      <c r="A182" s="18"/>
      <c r="B182" s="110" t="s">
        <v>238</v>
      </c>
      <c r="C182" s="111"/>
      <c r="D182" s="111"/>
      <c r="E182" s="111"/>
      <c r="F182" s="111"/>
      <c r="G182" s="90"/>
      <c r="H182" s="91"/>
      <c r="I182" s="109"/>
      <c r="J182" s="45"/>
      <c r="K182" s="18"/>
      <c r="L182" s="110" t="s">
        <v>238</v>
      </c>
      <c r="M182" s="111"/>
      <c r="N182" s="111"/>
      <c r="O182" s="111"/>
      <c r="P182" s="111"/>
      <c r="Q182" s="90"/>
      <c r="R182" s="91"/>
      <c r="S182" s="109"/>
    </row>
    <row r="183" spans="1:19" ht="25.5" customHeight="1" thickBot="1" x14ac:dyDescent="0.3">
      <c r="A183" s="19"/>
      <c r="B183" s="112" t="s">
        <v>239</v>
      </c>
      <c r="C183" s="113"/>
      <c r="D183" s="113"/>
      <c r="E183" s="113"/>
      <c r="F183" s="113"/>
      <c r="G183" s="114">
        <f>SUM(G162:H182)</f>
        <v>1369931.4055999999</v>
      </c>
      <c r="H183" s="115"/>
      <c r="I183" s="20"/>
      <c r="J183" s="46"/>
      <c r="K183" s="19"/>
      <c r="L183" s="112" t="s">
        <v>239</v>
      </c>
      <c r="M183" s="113"/>
      <c r="N183" s="113"/>
      <c r="O183" s="113"/>
      <c r="P183" s="113"/>
      <c r="Q183" s="114">
        <f>SUM(Q162:R182)</f>
        <v>1155259.3568</v>
      </c>
      <c r="R183" s="115"/>
      <c r="S183" s="20"/>
    </row>
    <row r="184" spans="1:19" ht="25.5" customHeight="1" thickBot="1" x14ac:dyDescent="0.3">
      <c r="A184" s="21"/>
      <c r="B184" s="101" t="s">
        <v>240</v>
      </c>
      <c r="C184" s="102"/>
      <c r="D184" s="102"/>
      <c r="E184" s="102"/>
      <c r="F184" s="102"/>
      <c r="G184" s="116">
        <f>G183*1.2</f>
        <v>1643917.6867199999</v>
      </c>
      <c r="H184" s="117"/>
      <c r="I184" s="22"/>
      <c r="J184" s="47"/>
      <c r="K184" s="21"/>
      <c r="L184" s="101" t="s">
        <v>240</v>
      </c>
      <c r="M184" s="102"/>
      <c r="N184" s="102"/>
      <c r="O184" s="102"/>
      <c r="P184" s="102"/>
      <c r="Q184" s="116">
        <f>Q183*1.2</f>
        <v>1386311.2281599999</v>
      </c>
      <c r="R184" s="117"/>
      <c r="S184" s="22"/>
    </row>
    <row r="185" spans="1:19" ht="25.5" customHeight="1" thickBot="1" x14ac:dyDescent="0.3">
      <c r="A185" s="24"/>
      <c r="B185" s="96" t="s">
        <v>443</v>
      </c>
      <c r="C185" s="97"/>
      <c r="D185" s="97"/>
      <c r="E185" s="97"/>
      <c r="F185" s="97"/>
      <c r="G185" s="311">
        <v>1640863.43</v>
      </c>
      <c r="H185" s="312"/>
      <c r="I185" s="313"/>
      <c r="J185" s="47"/>
      <c r="K185" s="24"/>
      <c r="L185" s="96" t="s">
        <v>443</v>
      </c>
      <c r="M185" s="97"/>
      <c r="N185" s="97"/>
      <c r="O185" s="97"/>
      <c r="P185" s="97"/>
      <c r="Q185" s="311">
        <v>1388717.56</v>
      </c>
      <c r="R185" s="312"/>
      <c r="S185" s="313"/>
    </row>
    <row r="186" spans="1:19" ht="25.5" customHeight="1" thickBot="1" x14ac:dyDescent="0.3">
      <c r="A186" s="19"/>
      <c r="B186" s="101" t="s">
        <v>242</v>
      </c>
      <c r="C186" s="102"/>
      <c r="D186" s="102"/>
      <c r="E186" s="102"/>
      <c r="F186" s="102"/>
      <c r="G186" s="307">
        <v>1642244.24</v>
      </c>
      <c r="H186" s="308"/>
      <c r="I186" s="309"/>
      <c r="J186" s="47"/>
      <c r="K186" s="19"/>
      <c r="L186" s="101" t="s">
        <v>242</v>
      </c>
      <c r="M186" s="102"/>
      <c r="N186" s="102"/>
      <c r="O186" s="102"/>
      <c r="P186" s="102"/>
      <c r="Q186" s="307">
        <v>1386307.21</v>
      </c>
      <c r="R186" s="308"/>
      <c r="S186" s="309"/>
    </row>
    <row r="187" spans="1:19" ht="25.5" customHeight="1" thickBot="1" x14ac:dyDescent="0.3">
      <c r="A187" s="19"/>
      <c r="B187" s="106" t="s">
        <v>444</v>
      </c>
      <c r="C187" s="107"/>
      <c r="D187" s="107"/>
      <c r="E187" s="107"/>
      <c r="F187" s="107"/>
      <c r="G187" s="307">
        <v>233211.29</v>
      </c>
      <c r="H187" s="308"/>
      <c r="I187" s="309"/>
      <c r="J187" s="47"/>
      <c r="K187" s="19"/>
      <c r="L187" s="106" t="s">
        <v>444</v>
      </c>
      <c r="M187" s="107"/>
      <c r="N187" s="107"/>
      <c r="O187" s="107"/>
      <c r="P187" s="107"/>
      <c r="Q187" s="307">
        <v>326279.89</v>
      </c>
      <c r="R187" s="308"/>
      <c r="S187" s="309"/>
    </row>
    <row r="188" spans="1:19" ht="45.75" customHeight="1" x14ac:dyDescent="0.25">
      <c r="A188" s="4"/>
      <c r="B188" s="310"/>
      <c r="C188" s="310"/>
      <c r="D188" s="310"/>
      <c r="E188" s="310"/>
      <c r="F188" s="310"/>
      <c r="G188" s="310"/>
      <c r="H188" s="310"/>
      <c r="I188" s="310"/>
      <c r="K188" s="4"/>
      <c r="L188" s="310"/>
      <c r="M188" s="310"/>
      <c r="N188" s="310"/>
      <c r="O188" s="310"/>
      <c r="P188" s="310"/>
      <c r="Q188" s="310"/>
      <c r="R188" s="310"/>
      <c r="S188" s="310"/>
    </row>
    <row r="189" spans="1:19" ht="15.75" x14ac:dyDescent="0.25">
      <c r="A189" s="30"/>
      <c r="C189" s="30"/>
      <c r="K189" s="30"/>
      <c r="N189" s="30"/>
    </row>
    <row r="190" spans="1:19" ht="15.75" x14ac:dyDescent="0.25">
      <c r="A190" s="30"/>
      <c r="C190" s="30"/>
      <c r="K190" s="30"/>
      <c r="N190" s="30"/>
    </row>
    <row r="191" spans="1:19" ht="15.75" x14ac:dyDescent="0.25">
      <c r="A191" s="30"/>
      <c r="C191" s="30"/>
      <c r="K191" s="30"/>
      <c r="N191" s="30"/>
    </row>
    <row r="192" spans="1:19" x14ac:dyDescent="0.25">
      <c r="A192" s="3"/>
      <c r="B192" s="3"/>
      <c r="C192" s="3"/>
      <c r="D192" s="3"/>
      <c r="E192" s="4" t="s">
        <v>204</v>
      </c>
      <c r="F192" s="3"/>
      <c r="G192" s="3"/>
      <c r="H192" s="3"/>
      <c r="I192" s="3"/>
      <c r="K192" s="3"/>
      <c r="L192" s="3"/>
      <c r="M192" s="3"/>
      <c r="N192" s="3"/>
      <c r="O192" s="4" t="s">
        <v>204</v>
      </c>
      <c r="P192" s="3"/>
      <c r="Q192" s="3"/>
      <c r="R192" s="3"/>
      <c r="S192" s="3"/>
    </row>
    <row r="193" spans="1:19" x14ac:dyDescent="0.25">
      <c r="A193" s="3" t="s">
        <v>205</v>
      </c>
      <c r="B193" s="3"/>
      <c r="C193" s="3"/>
      <c r="D193" s="3" t="s">
        <v>330</v>
      </c>
      <c r="E193" s="3"/>
      <c r="F193" s="3"/>
      <c r="G193" s="3"/>
      <c r="H193" s="3"/>
      <c r="I193" s="3"/>
      <c r="K193" s="3" t="s">
        <v>205</v>
      </c>
      <c r="L193" s="3"/>
      <c r="M193" s="3"/>
      <c r="N193" s="3" t="s">
        <v>331</v>
      </c>
      <c r="O193" s="3"/>
      <c r="P193" s="3"/>
      <c r="Q193" s="3"/>
      <c r="R193" s="3"/>
      <c r="S193" s="3"/>
    </row>
    <row r="194" spans="1:19" x14ac:dyDescent="0.25">
      <c r="A194" s="3"/>
      <c r="B194" s="5" t="s">
        <v>440</v>
      </c>
      <c r="C194" s="3"/>
      <c r="D194" s="3"/>
      <c r="E194" s="3"/>
      <c r="F194" s="3"/>
      <c r="G194" s="3"/>
      <c r="H194" s="3"/>
      <c r="I194" s="3"/>
      <c r="K194" s="3"/>
      <c r="L194" s="5" t="s">
        <v>440</v>
      </c>
      <c r="M194" s="3"/>
      <c r="N194" s="3"/>
      <c r="O194" s="3"/>
      <c r="P194" s="3"/>
      <c r="Q194" s="3"/>
      <c r="R194" s="3"/>
      <c r="S194" s="3"/>
    </row>
    <row r="195" spans="1:19" x14ac:dyDescent="0.25">
      <c r="A195" s="3"/>
      <c r="B195" s="5" t="s">
        <v>206</v>
      </c>
      <c r="C195" s="3"/>
      <c r="D195" s="3"/>
      <c r="E195" s="3"/>
      <c r="F195" s="3">
        <v>6085.1</v>
      </c>
      <c r="G195" s="3" t="s">
        <v>207</v>
      </c>
      <c r="H195" s="3"/>
      <c r="I195" s="3"/>
      <c r="K195" s="3"/>
      <c r="L195" s="5" t="s">
        <v>206</v>
      </c>
      <c r="M195" s="3"/>
      <c r="N195" s="3"/>
      <c r="O195" s="3"/>
      <c r="P195" s="3">
        <v>4533.1000000000004</v>
      </c>
      <c r="Q195" s="3" t="s">
        <v>207</v>
      </c>
      <c r="R195" s="3"/>
      <c r="S195" s="3"/>
    </row>
    <row r="196" spans="1:19" ht="15.75" thickBot="1" x14ac:dyDescent="0.3">
      <c r="A196" s="3"/>
      <c r="B196" s="3"/>
      <c r="C196" s="3"/>
      <c r="D196" s="4"/>
      <c r="E196" s="4"/>
      <c r="F196" s="3"/>
      <c r="G196" s="3"/>
      <c r="H196" s="3"/>
      <c r="I196" s="3"/>
      <c r="J196" s="3"/>
      <c r="K196" s="3"/>
      <c r="L196" s="3"/>
      <c r="M196" s="3"/>
      <c r="N196" s="4"/>
      <c r="O196" s="4"/>
      <c r="P196" s="3"/>
      <c r="Q196" s="3"/>
      <c r="R196" s="3"/>
      <c r="S196" s="3"/>
    </row>
    <row r="197" spans="1:19" ht="15" customHeight="1" x14ac:dyDescent="0.25">
      <c r="A197" s="175" t="s">
        <v>209</v>
      </c>
      <c r="B197" s="177" t="s">
        <v>210</v>
      </c>
      <c r="C197" s="178"/>
      <c r="D197" s="178"/>
      <c r="E197" s="178"/>
      <c r="F197" s="178"/>
      <c r="G197" s="180" t="s">
        <v>442</v>
      </c>
      <c r="H197" s="181"/>
      <c r="I197" s="175" t="s">
        <v>212</v>
      </c>
      <c r="J197" s="3"/>
      <c r="K197" s="175" t="s">
        <v>209</v>
      </c>
      <c r="L197" s="177" t="s">
        <v>210</v>
      </c>
      <c r="M197" s="178"/>
      <c r="N197" s="178"/>
      <c r="O197" s="178"/>
      <c r="P197" s="178"/>
      <c r="Q197" s="180" t="s">
        <v>442</v>
      </c>
      <c r="R197" s="181"/>
      <c r="S197" s="175" t="s">
        <v>212</v>
      </c>
    </row>
    <row r="198" spans="1:19" ht="76.5" customHeight="1" thickBot="1" x14ac:dyDescent="0.3">
      <c r="A198" s="176"/>
      <c r="B198" s="179"/>
      <c r="C198" s="179"/>
      <c r="D198" s="179"/>
      <c r="E198" s="179"/>
      <c r="F198" s="179"/>
      <c r="G198" s="182"/>
      <c r="H198" s="183"/>
      <c r="I198" s="184"/>
      <c r="J198" s="3"/>
      <c r="K198" s="176"/>
      <c r="L198" s="179"/>
      <c r="M198" s="179"/>
      <c r="N198" s="179"/>
      <c r="O198" s="179"/>
      <c r="P198" s="179"/>
      <c r="Q198" s="182"/>
      <c r="R198" s="183"/>
      <c r="S198" s="184"/>
    </row>
    <row r="199" spans="1:19" ht="15" customHeight="1" x14ac:dyDescent="0.25">
      <c r="A199" s="185" t="s">
        <v>213</v>
      </c>
      <c r="B199" s="187" t="s">
        <v>354</v>
      </c>
      <c r="C199" s="188"/>
      <c r="D199" s="188"/>
      <c r="E199" s="188"/>
      <c r="F199" s="188"/>
      <c r="G199" s="190">
        <v>64856.959999999999</v>
      </c>
      <c r="H199" s="191"/>
      <c r="I199" s="192"/>
      <c r="J199" s="51"/>
      <c r="K199" s="185" t="s">
        <v>213</v>
      </c>
      <c r="L199" s="187" t="s">
        <v>354</v>
      </c>
      <c r="M199" s="188"/>
      <c r="N199" s="188"/>
      <c r="O199" s="188"/>
      <c r="P199" s="188"/>
      <c r="Q199" s="190">
        <v>124954.36</v>
      </c>
      <c r="R199" s="191"/>
      <c r="S199" s="192"/>
    </row>
    <row r="200" spans="1:19" ht="8.25" customHeight="1" thickBot="1" x14ac:dyDescent="0.3">
      <c r="A200" s="186"/>
      <c r="B200" s="189"/>
      <c r="C200" s="189"/>
      <c r="D200" s="189"/>
      <c r="E200" s="189"/>
      <c r="F200" s="189"/>
      <c r="G200" s="193"/>
      <c r="H200" s="194"/>
      <c r="I200" s="128"/>
      <c r="J200" s="52"/>
      <c r="K200" s="186"/>
      <c r="L200" s="189"/>
      <c r="M200" s="189"/>
      <c r="N200" s="189"/>
      <c r="O200" s="189"/>
      <c r="P200" s="189"/>
      <c r="Q200" s="193"/>
      <c r="R200" s="194"/>
      <c r="S200" s="128"/>
    </row>
    <row r="201" spans="1:19" ht="15" customHeight="1" x14ac:dyDescent="0.25">
      <c r="A201" s="6"/>
      <c r="B201" s="161" t="s">
        <v>214</v>
      </c>
      <c r="C201" s="162"/>
      <c r="D201" s="162"/>
      <c r="E201" s="162"/>
      <c r="F201" s="162"/>
      <c r="G201" s="163">
        <f>1.4*12*F195</f>
        <v>102229.68</v>
      </c>
      <c r="H201" s="164"/>
      <c r="I201" s="169" t="s">
        <v>215</v>
      </c>
      <c r="J201" s="63"/>
      <c r="K201" s="6"/>
      <c r="L201" s="161" t="s">
        <v>214</v>
      </c>
      <c r="M201" s="162"/>
      <c r="N201" s="162"/>
      <c r="O201" s="162"/>
      <c r="P201" s="162"/>
      <c r="Q201" s="163">
        <f>1.75*12*P195</f>
        <v>95195.1</v>
      </c>
      <c r="R201" s="164"/>
      <c r="S201" s="169" t="s">
        <v>215</v>
      </c>
    </row>
    <row r="202" spans="1:19" ht="33" customHeight="1" thickBot="1" x14ac:dyDescent="0.3">
      <c r="A202" s="7"/>
      <c r="B202" s="171" t="s">
        <v>216</v>
      </c>
      <c r="C202" s="172"/>
      <c r="D202" s="172"/>
      <c r="E202" s="172"/>
      <c r="F202" s="172"/>
      <c r="G202" s="165"/>
      <c r="H202" s="166"/>
      <c r="I202" s="170"/>
      <c r="J202" s="43"/>
      <c r="K202" s="7"/>
      <c r="L202" s="171" t="s">
        <v>216</v>
      </c>
      <c r="M202" s="172"/>
      <c r="N202" s="172"/>
      <c r="O202" s="172"/>
      <c r="P202" s="172"/>
      <c r="Q202" s="165"/>
      <c r="R202" s="166"/>
      <c r="S202" s="170"/>
    </row>
    <row r="203" spans="1:19" ht="13.5" customHeight="1" thickBot="1" x14ac:dyDescent="0.3">
      <c r="A203" s="7"/>
      <c r="B203" s="173" t="s">
        <v>217</v>
      </c>
      <c r="C203" s="174"/>
      <c r="D203" s="174"/>
      <c r="E203" s="174"/>
      <c r="F203" s="174"/>
      <c r="G203" s="167"/>
      <c r="H203" s="168"/>
      <c r="I203" s="8" t="s">
        <v>218</v>
      </c>
      <c r="J203" s="42"/>
      <c r="K203" s="7"/>
      <c r="L203" s="173" t="s">
        <v>217</v>
      </c>
      <c r="M203" s="174"/>
      <c r="N203" s="174"/>
      <c r="O203" s="174"/>
      <c r="P203" s="174"/>
      <c r="Q203" s="167"/>
      <c r="R203" s="168"/>
      <c r="S203" s="8" t="s">
        <v>218</v>
      </c>
    </row>
    <row r="204" spans="1:19" ht="20.25" customHeight="1" thickBot="1" x14ac:dyDescent="0.3">
      <c r="A204" s="7"/>
      <c r="B204" s="141" t="s">
        <v>219</v>
      </c>
      <c r="C204" s="142"/>
      <c r="D204" s="142"/>
      <c r="E204" s="142"/>
      <c r="F204" s="142"/>
      <c r="G204" s="143">
        <v>0</v>
      </c>
      <c r="H204" s="144"/>
      <c r="I204" s="8" t="s">
        <v>220</v>
      </c>
      <c r="J204" s="43"/>
      <c r="K204" s="7"/>
      <c r="L204" s="141" t="s">
        <v>219</v>
      </c>
      <c r="M204" s="142"/>
      <c r="N204" s="142"/>
      <c r="O204" s="142"/>
      <c r="P204" s="142"/>
      <c r="Q204" s="143">
        <v>0</v>
      </c>
      <c r="R204" s="144"/>
      <c r="S204" s="8" t="s">
        <v>220</v>
      </c>
    </row>
    <row r="205" spans="1:19" ht="20.25" customHeight="1" thickBot="1" x14ac:dyDescent="0.3">
      <c r="A205" s="7"/>
      <c r="B205" s="141" t="s">
        <v>221</v>
      </c>
      <c r="C205" s="142"/>
      <c r="D205" s="142"/>
      <c r="E205" s="142"/>
      <c r="F205" s="142"/>
      <c r="G205" s="143">
        <f>0.47*12*F195</f>
        <v>34319.964</v>
      </c>
      <c r="H205" s="144"/>
      <c r="I205" s="8" t="s">
        <v>222</v>
      </c>
      <c r="J205" s="55"/>
      <c r="K205" s="7"/>
      <c r="L205" s="141" t="s">
        <v>221</v>
      </c>
      <c r="M205" s="142"/>
      <c r="N205" s="142"/>
      <c r="O205" s="142"/>
      <c r="P205" s="142"/>
      <c r="Q205" s="143">
        <f>0.47*12*P195</f>
        <v>25566.684000000001</v>
      </c>
      <c r="R205" s="144"/>
      <c r="S205" s="8" t="s">
        <v>222</v>
      </c>
    </row>
    <row r="206" spans="1:19" ht="13.5" customHeight="1" x14ac:dyDescent="0.25">
      <c r="A206" s="9"/>
      <c r="B206" s="145" t="s">
        <v>223</v>
      </c>
      <c r="C206" s="146"/>
      <c r="D206" s="146"/>
      <c r="E206" s="146"/>
      <c r="F206" s="146"/>
      <c r="G206" s="86">
        <f>1.99*12*F195</f>
        <v>145312.18799999999</v>
      </c>
      <c r="H206" s="147"/>
      <c r="I206" s="152" t="s">
        <v>224</v>
      </c>
      <c r="J206" s="56"/>
      <c r="K206" s="9"/>
      <c r="L206" s="145" t="s">
        <v>223</v>
      </c>
      <c r="M206" s="146"/>
      <c r="N206" s="146"/>
      <c r="O206" s="146"/>
      <c r="P206" s="146"/>
      <c r="Q206" s="86">
        <f>1.86*12*P195</f>
        <v>101178.79200000002</v>
      </c>
      <c r="R206" s="147"/>
      <c r="S206" s="152" t="s">
        <v>224</v>
      </c>
    </row>
    <row r="207" spans="1:19" ht="13.5" customHeight="1" x14ac:dyDescent="0.25">
      <c r="A207" s="10"/>
      <c r="B207" s="155" t="s">
        <v>226</v>
      </c>
      <c r="C207" s="156"/>
      <c r="D207" s="156"/>
      <c r="E207" s="156"/>
      <c r="F207" s="156"/>
      <c r="G207" s="148"/>
      <c r="H207" s="149"/>
      <c r="I207" s="153"/>
      <c r="J207" s="56"/>
      <c r="K207" s="10"/>
      <c r="L207" s="155" t="s">
        <v>226</v>
      </c>
      <c r="M207" s="156"/>
      <c r="N207" s="156"/>
      <c r="O207" s="156"/>
      <c r="P207" s="156"/>
      <c r="Q207" s="148"/>
      <c r="R207" s="149"/>
      <c r="S207" s="153"/>
    </row>
    <row r="208" spans="1:19" ht="13.5" customHeight="1" thickBot="1" x14ac:dyDescent="0.3">
      <c r="A208" s="10"/>
      <c r="B208" s="157" t="s">
        <v>227</v>
      </c>
      <c r="C208" s="158"/>
      <c r="D208" s="158"/>
      <c r="E208" s="158"/>
      <c r="F208" s="158"/>
      <c r="G208" s="148"/>
      <c r="H208" s="149"/>
      <c r="I208" s="154"/>
      <c r="J208" s="56"/>
      <c r="K208" s="10"/>
      <c r="L208" s="157" t="s">
        <v>227</v>
      </c>
      <c r="M208" s="158"/>
      <c r="N208" s="158"/>
      <c r="O208" s="158"/>
      <c r="P208" s="158"/>
      <c r="Q208" s="148"/>
      <c r="R208" s="149"/>
      <c r="S208" s="154"/>
    </row>
    <row r="209" spans="1:19" ht="13.5" customHeight="1" thickBot="1" x14ac:dyDescent="0.3">
      <c r="A209" s="10"/>
      <c r="B209" s="159" t="s">
        <v>228</v>
      </c>
      <c r="C209" s="160"/>
      <c r="D209" s="160"/>
      <c r="E209" s="160"/>
      <c r="F209" s="160"/>
      <c r="G209" s="150"/>
      <c r="H209" s="151"/>
      <c r="I209" s="11" t="s">
        <v>229</v>
      </c>
      <c r="J209" s="57"/>
      <c r="K209" s="10"/>
      <c r="L209" s="159" t="s">
        <v>228</v>
      </c>
      <c r="M209" s="160"/>
      <c r="N209" s="160"/>
      <c r="O209" s="160"/>
      <c r="P209" s="160"/>
      <c r="Q209" s="150"/>
      <c r="R209" s="151"/>
      <c r="S209" s="11" t="s">
        <v>229</v>
      </c>
    </row>
    <row r="210" spans="1:19" ht="13.5" customHeight="1" x14ac:dyDescent="0.25">
      <c r="A210" s="12"/>
      <c r="B210" s="125" t="s">
        <v>230</v>
      </c>
      <c r="C210" s="126"/>
      <c r="D210" s="126"/>
      <c r="E210" s="126"/>
      <c r="F210" s="126"/>
      <c r="G210" s="86">
        <f>0.048*12*F195</f>
        <v>3505.0176000000006</v>
      </c>
      <c r="H210" s="87"/>
      <c r="I210" s="129" t="s">
        <v>220</v>
      </c>
      <c r="J210" s="43"/>
      <c r="K210" s="12"/>
      <c r="L210" s="125" t="s">
        <v>230</v>
      </c>
      <c r="M210" s="126"/>
      <c r="N210" s="126"/>
      <c r="O210" s="126"/>
      <c r="P210" s="126"/>
      <c r="Q210" s="86">
        <f>0.048*12*P195</f>
        <v>2611.0656000000004</v>
      </c>
      <c r="R210" s="87"/>
      <c r="S210" s="129" t="s">
        <v>220</v>
      </c>
    </row>
    <row r="211" spans="1:19" ht="13.5" customHeight="1" thickBot="1" x14ac:dyDescent="0.3">
      <c r="A211" s="7"/>
      <c r="B211" s="131" t="s">
        <v>231</v>
      </c>
      <c r="C211" s="132"/>
      <c r="D211" s="132"/>
      <c r="E211" s="132"/>
      <c r="F211" s="132"/>
      <c r="G211" s="127"/>
      <c r="H211" s="128"/>
      <c r="I211" s="130"/>
      <c r="J211" s="43"/>
      <c r="K211" s="7"/>
      <c r="L211" s="131" t="s">
        <v>231</v>
      </c>
      <c r="M211" s="132"/>
      <c r="N211" s="132"/>
      <c r="O211" s="132"/>
      <c r="P211" s="132"/>
      <c r="Q211" s="127"/>
      <c r="R211" s="128"/>
      <c r="S211" s="130"/>
    </row>
    <row r="212" spans="1:19" ht="15.75" customHeight="1" thickBot="1" x14ac:dyDescent="0.3">
      <c r="A212" s="13"/>
      <c r="B212" s="133" t="s">
        <v>232</v>
      </c>
      <c r="C212" s="134"/>
      <c r="D212" s="134"/>
      <c r="E212" s="134"/>
      <c r="F212" s="134"/>
      <c r="G212" s="135"/>
      <c r="H212" s="136"/>
      <c r="I212" s="14"/>
      <c r="J212" s="43"/>
      <c r="K212" s="13"/>
      <c r="L212" s="133" t="s">
        <v>232</v>
      </c>
      <c r="M212" s="134"/>
      <c r="N212" s="134"/>
      <c r="O212" s="134"/>
      <c r="P212" s="134"/>
      <c r="Q212" s="135"/>
      <c r="R212" s="136"/>
      <c r="S212" s="14"/>
    </row>
    <row r="213" spans="1:19" ht="15.75" customHeight="1" thickBot="1" x14ac:dyDescent="0.3">
      <c r="A213" s="13"/>
      <c r="B213" s="84" t="s">
        <v>233</v>
      </c>
      <c r="C213" s="85"/>
      <c r="D213" s="85"/>
      <c r="E213" s="85"/>
      <c r="F213" s="85"/>
      <c r="G213" s="86">
        <f>1.34*12*F195</f>
        <v>97848.40800000001</v>
      </c>
      <c r="H213" s="87"/>
      <c r="I213" s="317" t="s">
        <v>541</v>
      </c>
      <c r="J213" s="58"/>
      <c r="K213" s="13"/>
      <c r="L213" s="84" t="s">
        <v>233</v>
      </c>
      <c r="M213" s="85"/>
      <c r="N213" s="85"/>
      <c r="O213" s="85"/>
      <c r="P213" s="85"/>
      <c r="Q213" s="86">
        <f>1.55*12*P195</f>
        <v>84315.660000000018</v>
      </c>
      <c r="R213" s="87"/>
      <c r="S213" s="317" t="s">
        <v>542</v>
      </c>
    </row>
    <row r="214" spans="1:19" ht="45.75" customHeight="1" x14ac:dyDescent="0.25">
      <c r="A214" s="118"/>
      <c r="B214" s="121" t="s">
        <v>226</v>
      </c>
      <c r="C214" s="122"/>
      <c r="D214" s="122"/>
      <c r="E214" s="122"/>
      <c r="F214" s="122"/>
      <c r="G214" s="88"/>
      <c r="H214" s="89"/>
      <c r="I214" s="318"/>
      <c r="J214" s="41"/>
      <c r="K214" s="118"/>
      <c r="L214" s="121" t="s">
        <v>226</v>
      </c>
      <c r="M214" s="122"/>
      <c r="N214" s="122"/>
      <c r="O214" s="122"/>
      <c r="P214" s="122"/>
      <c r="Q214" s="88"/>
      <c r="R214" s="89"/>
      <c r="S214" s="318"/>
    </row>
    <row r="215" spans="1:19" ht="45" customHeight="1" x14ac:dyDescent="0.25">
      <c r="A215" s="119"/>
      <c r="B215" s="121" t="s">
        <v>227</v>
      </c>
      <c r="C215" s="122"/>
      <c r="D215" s="122"/>
      <c r="E215" s="122"/>
      <c r="F215" s="122"/>
      <c r="G215" s="88"/>
      <c r="H215" s="89"/>
      <c r="I215" s="318"/>
      <c r="J215" s="41"/>
      <c r="K215" s="119"/>
      <c r="L215" s="121" t="s">
        <v>227</v>
      </c>
      <c r="M215" s="122"/>
      <c r="N215" s="122"/>
      <c r="O215" s="122"/>
      <c r="P215" s="122"/>
      <c r="Q215" s="88"/>
      <c r="R215" s="89"/>
      <c r="S215" s="318"/>
    </row>
    <row r="216" spans="1:19" ht="54.75" customHeight="1" x14ac:dyDescent="0.25">
      <c r="A216" s="119"/>
      <c r="B216" s="121" t="s">
        <v>228</v>
      </c>
      <c r="C216" s="122"/>
      <c r="D216" s="122"/>
      <c r="E216" s="122"/>
      <c r="F216" s="122"/>
      <c r="G216" s="88"/>
      <c r="H216" s="89"/>
      <c r="I216" s="318"/>
      <c r="J216" s="41"/>
      <c r="K216" s="119"/>
      <c r="L216" s="121" t="s">
        <v>228</v>
      </c>
      <c r="M216" s="122"/>
      <c r="N216" s="122"/>
      <c r="O216" s="122"/>
      <c r="P216" s="122"/>
      <c r="Q216" s="88"/>
      <c r="R216" s="89"/>
      <c r="S216" s="318"/>
    </row>
    <row r="217" spans="1:19" ht="73.5" customHeight="1" thickBot="1" x14ac:dyDescent="0.3">
      <c r="A217" s="120"/>
      <c r="B217" s="123" t="s">
        <v>234</v>
      </c>
      <c r="C217" s="124"/>
      <c r="D217" s="124"/>
      <c r="E217" s="124"/>
      <c r="F217" s="124"/>
      <c r="G217" s="90"/>
      <c r="H217" s="91"/>
      <c r="I217" s="319"/>
      <c r="J217" s="41"/>
      <c r="K217" s="120"/>
      <c r="L217" s="123" t="s">
        <v>234</v>
      </c>
      <c r="M217" s="124"/>
      <c r="N217" s="124"/>
      <c r="O217" s="124"/>
      <c r="P217" s="124"/>
      <c r="Q217" s="90"/>
      <c r="R217" s="91"/>
      <c r="S217" s="319"/>
    </row>
    <row r="218" spans="1:19" ht="6.75" customHeight="1" thickBot="1" x14ac:dyDescent="0.3">
      <c r="A218" s="15"/>
      <c r="B218" s="137"/>
      <c r="C218" s="138"/>
      <c r="D218" s="138"/>
      <c r="E218" s="138"/>
      <c r="F218" s="138"/>
      <c r="G218" s="139"/>
      <c r="H218" s="140"/>
      <c r="I218" s="16"/>
      <c r="J218" s="42"/>
      <c r="K218" s="15"/>
      <c r="L218" s="137"/>
      <c r="M218" s="138"/>
      <c r="N218" s="138"/>
      <c r="O218" s="138"/>
      <c r="P218" s="138"/>
      <c r="Q218" s="139"/>
      <c r="R218" s="140"/>
      <c r="S218" s="16"/>
    </row>
    <row r="219" spans="1:19" ht="0.75" customHeight="1" thickBot="1" x14ac:dyDescent="0.3">
      <c r="A219" s="15"/>
      <c r="B219" s="137" t="s">
        <v>235</v>
      </c>
      <c r="C219" s="138"/>
      <c r="D219" s="138"/>
      <c r="E219" s="138"/>
      <c r="F219" s="138"/>
      <c r="G219" s="139"/>
      <c r="H219" s="140"/>
      <c r="I219" s="16"/>
      <c r="J219" s="43"/>
      <c r="K219" s="15"/>
      <c r="L219" s="137" t="s">
        <v>235</v>
      </c>
      <c r="M219" s="138"/>
      <c r="N219" s="138"/>
      <c r="O219" s="138"/>
      <c r="P219" s="138"/>
      <c r="Q219" s="139"/>
      <c r="R219" s="140"/>
      <c r="S219" s="16"/>
    </row>
    <row r="220" spans="1:19" ht="30.75" customHeight="1" thickBot="1" x14ac:dyDescent="0.3">
      <c r="A220" s="17"/>
      <c r="B220" s="78" t="s">
        <v>237</v>
      </c>
      <c r="C220" s="79"/>
      <c r="D220" s="79"/>
      <c r="E220" s="79"/>
      <c r="F220" s="79"/>
      <c r="G220" s="86">
        <v>7300</v>
      </c>
      <c r="H220" s="87"/>
      <c r="I220" s="108" t="s">
        <v>229</v>
      </c>
      <c r="J220" s="59"/>
      <c r="K220" s="17"/>
      <c r="L220" s="78" t="s">
        <v>237</v>
      </c>
      <c r="M220" s="79"/>
      <c r="N220" s="79"/>
      <c r="O220" s="79"/>
      <c r="P220" s="79"/>
      <c r="Q220" s="86">
        <v>5983</v>
      </c>
      <c r="R220" s="87"/>
      <c r="S220" s="108" t="s">
        <v>229</v>
      </c>
    </row>
    <row r="221" spans="1:19" ht="15.75" customHeight="1" thickBot="1" x14ac:dyDescent="0.3">
      <c r="A221" s="18"/>
      <c r="B221" s="110" t="s">
        <v>238</v>
      </c>
      <c r="C221" s="111"/>
      <c r="D221" s="111"/>
      <c r="E221" s="111"/>
      <c r="F221" s="111"/>
      <c r="G221" s="90"/>
      <c r="H221" s="91"/>
      <c r="I221" s="109"/>
      <c r="J221" s="59"/>
      <c r="K221" s="18"/>
      <c r="L221" s="110" t="s">
        <v>238</v>
      </c>
      <c r="M221" s="111"/>
      <c r="N221" s="111"/>
      <c r="O221" s="111"/>
      <c r="P221" s="111"/>
      <c r="Q221" s="90"/>
      <c r="R221" s="91"/>
      <c r="S221" s="109"/>
    </row>
    <row r="222" spans="1:19" ht="27" customHeight="1" thickBot="1" x14ac:dyDescent="0.3">
      <c r="A222" s="19"/>
      <c r="B222" s="112" t="s">
        <v>239</v>
      </c>
      <c r="C222" s="113"/>
      <c r="D222" s="113"/>
      <c r="E222" s="113"/>
      <c r="F222" s="113"/>
      <c r="G222" s="114">
        <f>SUM(G201:H221)</f>
        <v>390515.25760000001</v>
      </c>
      <c r="H222" s="115"/>
      <c r="I222" s="20"/>
      <c r="J222" s="58"/>
      <c r="K222" s="19"/>
      <c r="L222" s="112" t="s">
        <v>239</v>
      </c>
      <c r="M222" s="113"/>
      <c r="N222" s="113"/>
      <c r="O222" s="113"/>
      <c r="P222" s="113"/>
      <c r="Q222" s="114">
        <f>SUM(Q201:R221)</f>
        <v>314850.30160000006</v>
      </c>
      <c r="R222" s="115"/>
      <c r="S222" s="20"/>
    </row>
    <row r="223" spans="1:19" ht="24.75" customHeight="1" thickBot="1" x14ac:dyDescent="0.3">
      <c r="A223" s="21"/>
      <c r="B223" s="101" t="s">
        <v>240</v>
      </c>
      <c r="C223" s="102"/>
      <c r="D223" s="102"/>
      <c r="E223" s="102"/>
      <c r="F223" s="102"/>
      <c r="G223" s="116">
        <f>G222*1.2</f>
        <v>468618.30911999999</v>
      </c>
      <c r="H223" s="117"/>
      <c r="I223" s="22"/>
      <c r="J223" s="45"/>
      <c r="K223" s="21"/>
      <c r="L223" s="101" t="s">
        <v>240</v>
      </c>
      <c r="M223" s="102"/>
      <c r="N223" s="102"/>
      <c r="O223" s="102"/>
      <c r="P223" s="102"/>
      <c r="Q223" s="116">
        <f>Q222*1.2</f>
        <v>377820.36192000005</v>
      </c>
      <c r="R223" s="117"/>
      <c r="S223" s="22"/>
    </row>
    <row r="224" spans="1:19" ht="24.75" customHeight="1" thickBot="1" x14ac:dyDescent="0.3">
      <c r="A224" s="24"/>
      <c r="B224" s="96" t="s">
        <v>443</v>
      </c>
      <c r="C224" s="97"/>
      <c r="D224" s="97"/>
      <c r="E224" s="97"/>
      <c r="F224" s="97"/>
      <c r="G224" s="295">
        <v>462101.24</v>
      </c>
      <c r="H224" s="296"/>
      <c r="I224" s="297"/>
      <c r="J224" s="41"/>
      <c r="K224" s="24"/>
      <c r="L224" s="96" t="s">
        <v>443</v>
      </c>
      <c r="M224" s="97"/>
      <c r="N224" s="97"/>
      <c r="O224" s="97"/>
      <c r="P224" s="97"/>
      <c r="Q224" s="295">
        <v>391435.98</v>
      </c>
      <c r="R224" s="296"/>
      <c r="S224" s="297"/>
    </row>
    <row r="225" spans="1:19" ht="24.75" customHeight="1" thickBot="1" x14ac:dyDescent="0.3">
      <c r="A225" s="19"/>
      <c r="B225" s="101" t="s">
        <v>242</v>
      </c>
      <c r="C225" s="102"/>
      <c r="D225" s="102"/>
      <c r="E225" s="102"/>
      <c r="F225" s="102"/>
      <c r="G225" s="116">
        <v>467701.46</v>
      </c>
      <c r="H225" s="298"/>
      <c r="I225" s="214"/>
      <c r="J225" s="41"/>
      <c r="K225" s="19"/>
      <c r="L225" s="101" t="s">
        <v>242</v>
      </c>
      <c r="M225" s="102"/>
      <c r="N225" s="102"/>
      <c r="O225" s="102"/>
      <c r="P225" s="102"/>
      <c r="Q225" s="116">
        <v>379530.71</v>
      </c>
      <c r="R225" s="298"/>
      <c r="S225" s="214"/>
    </row>
    <row r="226" spans="1:19" ht="24.75" customHeight="1" thickBot="1" x14ac:dyDescent="0.3">
      <c r="A226" s="19"/>
      <c r="B226" s="106" t="s">
        <v>444</v>
      </c>
      <c r="C226" s="107"/>
      <c r="D226" s="107"/>
      <c r="E226" s="107"/>
      <c r="F226" s="107"/>
      <c r="G226" s="116">
        <v>59256.74</v>
      </c>
      <c r="H226" s="298"/>
      <c r="I226" s="214"/>
      <c r="J226" s="64"/>
      <c r="K226" s="19"/>
      <c r="L226" s="106" t="s">
        <v>444</v>
      </c>
      <c r="M226" s="107"/>
      <c r="N226" s="107"/>
      <c r="O226" s="107"/>
      <c r="P226" s="107"/>
      <c r="Q226" s="116">
        <v>136859.63</v>
      </c>
      <c r="R226" s="298"/>
      <c r="S226" s="214"/>
    </row>
    <row r="227" spans="1:19" ht="45" customHeight="1" x14ac:dyDescent="0.25">
      <c r="A227" s="30"/>
      <c r="B227" s="323"/>
      <c r="C227" s="323"/>
      <c r="D227" s="323"/>
      <c r="E227" s="323"/>
      <c r="F227" s="323"/>
      <c r="G227" s="323"/>
      <c r="H227" s="323"/>
      <c r="I227" s="323"/>
      <c r="K227" s="30"/>
      <c r="L227" s="323"/>
      <c r="M227" s="323"/>
      <c r="N227" s="323"/>
      <c r="O227" s="323"/>
      <c r="P227" s="323"/>
      <c r="Q227" s="323"/>
      <c r="R227" s="323"/>
      <c r="S227" s="323"/>
    </row>
    <row r="228" spans="1:19" ht="15.75" x14ac:dyDescent="0.25">
      <c r="A228" s="30"/>
      <c r="C228" s="30"/>
    </row>
    <row r="229" spans="1:19" ht="15.75" x14ac:dyDescent="0.25">
      <c r="C229" s="30"/>
    </row>
    <row r="231" spans="1:19" x14ac:dyDescent="0.25">
      <c r="A231" s="3"/>
      <c r="B231" s="3"/>
      <c r="C231" s="3"/>
      <c r="D231" s="3"/>
      <c r="E231" s="4" t="s">
        <v>204</v>
      </c>
      <c r="F231" s="3"/>
      <c r="G231" s="3"/>
      <c r="H231" s="3"/>
      <c r="I231" s="3"/>
      <c r="K231" s="3"/>
      <c r="L231" s="3"/>
      <c r="M231" s="3"/>
      <c r="N231" s="3"/>
      <c r="O231" s="4" t="s">
        <v>204</v>
      </c>
      <c r="P231" s="3"/>
      <c r="Q231" s="3"/>
      <c r="R231" s="3"/>
      <c r="S231" s="3"/>
    </row>
    <row r="232" spans="1:19" x14ac:dyDescent="0.25">
      <c r="A232" s="3" t="s">
        <v>205</v>
      </c>
      <c r="B232" s="3"/>
      <c r="C232" s="3"/>
      <c r="D232" s="3" t="s">
        <v>332</v>
      </c>
      <c r="E232" s="3"/>
      <c r="F232" s="3"/>
      <c r="G232" s="3"/>
      <c r="H232" s="3"/>
      <c r="I232" s="3"/>
      <c r="K232" s="3" t="s">
        <v>205</v>
      </c>
      <c r="L232" s="3"/>
      <c r="M232" s="3"/>
      <c r="N232" s="3" t="s">
        <v>333</v>
      </c>
      <c r="O232" s="3"/>
      <c r="P232" s="3"/>
      <c r="Q232" s="3"/>
      <c r="R232" s="3"/>
      <c r="S232" s="3"/>
    </row>
    <row r="233" spans="1:19" ht="15" customHeight="1" x14ac:dyDescent="0.25">
      <c r="A233" s="3"/>
      <c r="B233" s="5" t="s">
        <v>440</v>
      </c>
      <c r="C233" s="3"/>
      <c r="D233" s="3"/>
      <c r="E233" s="3"/>
      <c r="F233" s="3"/>
      <c r="G233" s="3"/>
      <c r="H233" s="3"/>
      <c r="I233" s="3"/>
      <c r="K233" s="3"/>
      <c r="L233" s="5" t="s">
        <v>440</v>
      </c>
      <c r="M233" s="3"/>
      <c r="N233" s="3"/>
      <c r="O233" s="3"/>
      <c r="P233" s="3"/>
      <c r="Q233" s="3"/>
      <c r="R233" s="3"/>
      <c r="S233" s="3"/>
    </row>
    <row r="234" spans="1:19" x14ac:dyDescent="0.25">
      <c r="A234" s="3"/>
      <c r="B234" s="5" t="s">
        <v>206</v>
      </c>
      <c r="C234" s="3"/>
      <c r="D234" s="3"/>
      <c r="E234" s="3"/>
      <c r="F234" s="3">
        <v>4447.2</v>
      </c>
      <c r="G234" s="3" t="s">
        <v>207</v>
      </c>
      <c r="H234" s="3"/>
      <c r="I234" s="3"/>
      <c r="K234" s="3"/>
      <c r="L234" s="5" t="s">
        <v>206</v>
      </c>
      <c r="M234" s="3"/>
      <c r="N234" s="3"/>
      <c r="O234" s="3"/>
      <c r="P234" s="3">
        <v>10910.6</v>
      </c>
      <c r="Q234" s="3" t="s">
        <v>207</v>
      </c>
      <c r="R234" s="3"/>
      <c r="S234" s="3"/>
    </row>
    <row r="235" spans="1:19" ht="15.75" thickBot="1" x14ac:dyDescent="0.3">
      <c r="A235" s="3"/>
      <c r="B235" s="3"/>
      <c r="C235" s="3"/>
      <c r="D235" s="4"/>
      <c r="E235" s="4"/>
      <c r="F235" s="3"/>
      <c r="G235" s="3"/>
      <c r="H235" s="3"/>
      <c r="I235" s="3"/>
      <c r="K235" s="3"/>
      <c r="L235" s="3"/>
      <c r="M235" s="3"/>
      <c r="N235" s="4"/>
      <c r="O235" s="4"/>
      <c r="P235" s="3"/>
      <c r="Q235" s="3"/>
      <c r="R235" s="65"/>
      <c r="S235" s="3"/>
    </row>
    <row r="236" spans="1:19" ht="15" customHeight="1" x14ac:dyDescent="0.25">
      <c r="A236" s="175" t="s">
        <v>209</v>
      </c>
      <c r="B236" s="177" t="s">
        <v>210</v>
      </c>
      <c r="C236" s="178"/>
      <c r="D236" s="178"/>
      <c r="E236" s="178"/>
      <c r="F236" s="178"/>
      <c r="G236" s="180" t="s">
        <v>442</v>
      </c>
      <c r="H236" s="181"/>
      <c r="I236" s="175" t="s">
        <v>212</v>
      </c>
      <c r="K236" s="175" t="s">
        <v>209</v>
      </c>
      <c r="L236" s="177" t="s">
        <v>210</v>
      </c>
      <c r="M236" s="178"/>
      <c r="N236" s="178"/>
      <c r="O236" s="178"/>
      <c r="P236" s="178"/>
      <c r="Q236" s="180" t="s">
        <v>442</v>
      </c>
      <c r="R236" s="181"/>
      <c r="S236" s="175" t="s">
        <v>212</v>
      </c>
    </row>
    <row r="237" spans="1:19" ht="54" customHeight="1" thickBot="1" x14ac:dyDescent="0.3">
      <c r="A237" s="176"/>
      <c r="B237" s="179"/>
      <c r="C237" s="179"/>
      <c r="D237" s="179"/>
      <c r="E237" s="179"/>
      <c r="F237" s="179"/>
      <c r="G237" s="182"/>
      <c r="H237" s="183"/>
      <c r="I237" s="184"/>
      <c r="K237" s="176"/>
      <c r="L237" s="179"/>
      <c r="M237" s="179"/>
      <c r="N237" s="179"/>
      <c r="O237" s="179"/>
      <c r="P237" s="179"/>
      <c r="Q237" s="182"/>
      <c r="R237" s="183"/>
      <c r="S237" s="184"/>
    </row>
    <row r="238" spans="1:19" ht="15" customHeight="1" x14ac:dyDescent="0.25">
      <c r="A238" s="185" t="s">
        <v>213</v>
      </c>
      <c r="B238" s="187" t="s">
        <v>354</v>
      </c>
      <c r="C238" s="188"/>
      <c r="D238" s="188"/>
      <c r="E238" s="188"/>
      <c r="F238" s="188"/>
      <c r="G238" s="190">
        <v>69056.44</v>
      </c>
      <c r="H238" s="191"/>
      <c r="I238" s="192"/>
      <c r="K238" s="185" t="s">
        <v>213</v>
      </c>
      <c r="L238" s="187" t="s">
        <v>354</v>
      </c>
      <c r="M238" s="188"/>
      <c r="N238" s="188"/>
      <c r="O238" s="188"/>
      <c r="P238" s="188"/>
      <c r="Q238" s="190">
        <v>204506.29</v>
      </c>
      <c r="R238" s="191"/>
      <c r="S238" s="192"/>
    </row>
    <row r="239" spans="1:19" ht="15.75" thickBot="1" x14ac:dyDescent="0.3">
      <c r="A239" s="186"/>
      <c r="B239" s="189"/>
      <c r="C239" s="189"/>
      <c r="D239" s="189"/>
      <c r="E239" s="189"/>
      <c r="F239" s="189"/>
      <c r="G239" s="193"/>
      <c r="H239" s="194"/>
      <c r="I239" s="128"/>
      <c r="K239" s="186"/>
      <c r="L239" s="189"/>
      <c r="M239" s="189"/>
      <c r="N239" s="189"/>
      <c r="O239" s="189"/>
      <c r="P239" s="189"/>
      <c r="Q239" s="193"/>
      <c r="R239" s="194"/>
      <c r="S239" s="128"/>
    </row>
    <row r="240" spans="1:19" x14ac:dyDescent="0.25">
      <c r="A240" s="6"/>
      <c r="B240" s="161" t="s">
        <v>214</v>
      </c>
      <c r="C240" s="162"/>
      <c r="D240" s="162"/>
      <c r="E240" s="162"/>
      <c r="F240" s="162"/>
      <c r="G240" s="163">
        <f>1.69*12*F234</f>
        <v>90189.216</v>
      </c>
      <c r="H240" s="164"/>
      <c r="I240" s="169" t="s">
        <v>215</v>
      </c>
      <c r="K240" s="6"/>
      <c r="L240" s="161" t="s">
        <v>214</v>
      </c>
      <c r="M240" s="162"/>
      <c r="N240" s="162"/>
      <c r="O240" s="162"/>
      <c r="P240" s="162"/>
      <c r="Q240" s="163">
        <f>1.66*12*P234</f>
        <v>217339.15199999997</v>
      </c>
      <c r="R240" s="164"/>
      <c r="S240" s="169" t="s">
        <v>215</v>
      </c>
    </row>
    <row r="241" spans="1:19" ht="33.75" customHeight="1" thickBot="1" x14ac:dyDescent="0.3">
      <c r="A241" s="7"/>
      <c r="B241" s="171" t="s">
        <v>216</v>
      </c>
      <c r="C241" s="172"/>
      <c r="D241" s="172"/>
      <c r="E241" s="172"/>
      <c r="F241" s="172"/>
      <c r="G241" s="165"/>
      <c r="H241" s="166"/>
      <c r="I241" s="170"/>
      <c r="K241" s="7"/>
      <c r="L241" s="171" t="s">
        <v>216</v>
      </c>
      <c r="M241" s="172"/>
      <c r="N241" s="172"/>
      <c r="O241" s="172"/>
      <c r="P241" s="172"/>
      <c r="Q241" s="165"/>
      <c r="R241" s="166"/>
      <c r="S241" s="170"/>
    </row>
    <row r="242" spans="1:19" ht="15.75" thickBot="1" x14ac:dyDescent="0.3">
      <c r="A242" s="7"/>
      <c r="B242" s="173" t="s">
        <v>217</v>
      </c>
      <c r="C242" s="174"/>
      <c r="D242" s="174"/>
      <c r="E242" s="174"/>
      <c r="F242" s="174"/>
      <c r="G242" s="167"/>
      <c r="H242" s="168"/>
      <c r="I242" s="8" t="s">
        <v>218</v>
      </c>
      <c r="K242" s="7"/>
      <c r="L242" s="173" t="s">
        <v>217</v>
      </c>
      <c r="M242" s="174"/>
      <c r="N242" s="174"/>
      <c r="O242" s="174"/>
      <c r="P242" s="174"/>
      <c r="Q242" s="167"/>
      <c r="R242" s="168"/>
      <c r="S242" s="8" t="s">
        <v>218</v>
      </c>
    </row>
    <row r="243" spans="1:19" ht="21" customHeight="1" thickBot="1" x14ac:dyDescent="0.3">
      <c r="A243" s="7"/>
      <c r="B243" s="141" t="s">
        <v>219</v>
      </c>
      <c r="C243" s="142"/>
      <c r="D243" s="142"/>
      <c r="E243" s="142"/>
      <c r="F243" s="142"/>
      <c r="G243" s="143">
        <v>0</v>
      </c>
      <c r="H243" s="144"/>
      <c r="I243" s="8" t="s">
        <v>220</v>
      </c>
      <c r="K243" s="7"/>
      <c r="L243" s="141" t="s">
        <v>219</v>
      </c>
      <c r="M243" s="142"/>
      <c r="N243" s="142"/>
      <c r="O243" s="142"/>
      <c r="P243" s="142"/>
      <c r="Q243" s="143">
        <f>2765*4*12</f>
        <v>132720</v>
      </c>
      <c r="R243" s="144"/>
      <c r="S243" s="8" t="s">
        <v>220</v>
      </c>
    </row>
    <row r="244" spans="1:19" ht="21" customHeight="1" thickBot="1" x14ac:dyDescent="0.3">
      <c r="A244" s="7"/>
      <c r="B244" s="141" t="s">
        <v>221</v>
      </c>
      <c r="C244" s="142"/>
      <c r="D244" s="142"/>
      <c r="E244" s="142"/>
      <c r="F244" s="142"/>
      <c r="G244" s="143">
        <f>0.47*12*F234</f>
        <v>25082.207999999999</v>
      </c>
      <c r="H244" s="144"/>
      <c r="I244" s="8" t="s">
        <v>222</v>
      </c>
      <c r="K244" s="7"/>
      <c r="L244" s="141" t="s">
        <v>221</v>
      </c>
      <c r="M244" s="142"/>
      <c r="N244" s="142"/>
      <c r="O244" s="142"/>
      <c r="P244" s="142"/>
      <c r="Q244" s="143">
        <f>0.474*12*P234</f>
        <v>62059.4928</v>
      </c>
      <c r="R244" s="144"/>
      <c r="S244" s="8" t="s">
        <v>222</v>
      </c>
    </row>
    <row r="245" spans="1:19" x14ac:dyDescent="0.25">
      <c r="A245" s="9"/>
      <c r="B245" s="145" t="s">
        <v>223</v>
      </c>
      <c r="C245" s="146"/>
      <c r="D245" s="146"/>
      <c r="E245" s="146"/>
      <c r="F245" s="146"/>
      <c r="G245" s="86">
        <f>1.99*12*F234</f>
        <v>106199.13599999998</v>
      </c>
      <c r="H245" s="147"/>
      <c r="I245" s="152" t="s">
        <v>224</v>
      </c>
      <c r="K245" s="9"/>
      <c r="L245" s="145" t="s">
        <v>223</v>
      </c>
      <c r="M245" s="146"/>
      <c r="N245" s="146"/>
      <c r="O245" s="146"/>
      <c r="P245" s="146"/>
      <c r="Q245" s="86">
        <f>1.92*12*P234</f>
        <v>251380.22399999999</v>
      </c>
      <c r="R245" s="147"/>
      <c r="S245" s="152" t="s">
        <v>224</v>
      </c>
    </row>
    <row r="246" spans="1:19" x14ac:dyDescent="0.25">
      <c r="A246" s="10"/>
      <c r="B246" s="155" t="s">
        <v>226</v>
      </c>
      <c r="C246" s="156"/>
      <c r="D246" s="156"/>
      <c r="E246" s="156"/>
      <c r="F246" s="156"/>
      <c r="G246" s="148"/>
      <c r="H246" s="149"/>
      <c r="I246" s="153"/>
      <c r="K246" s="10"/>
      <c r="L246" s="155" t="s">
        <v>226</v>
      </c>
      <c r="M246" s="156"/>
      <c r="N246" s="156"/>
      <c r="O246" s="156"/>
      <c r="P246" s="156"/>
      <c r="Q246" s="148"/>
      <c r="R246" s="149"/>
      <c r="S246" s="153"/>
    </row>
    <row r="247" spans="1:19" ht="15.75" thickBot="1" x14ac:dyDescent="0.3">
      <c r="A247" s="10"/>
      <c r="B247" s="157" t="s">
        <v>227</v>
      </c>
      <c r="C247" s="158"/>
      <c r="D247" s="158"/>
      <c r="E247" s="158"/>
      <c r="F247" s="158"/>
      <c r="G247" s="148"/>
      <c r="H247" s="149"/>
      <c r="I247" s="154"/>
      <c r="K247" s="10"/>
      <c r="L247" s="157" t="s">
        <v>227</v>
      </c>
      <c r="M247" s="158"/>
      <c r="N247" s="158"/>
      <c r="O247" s="158"/>
      <c r="P247" s="158"/>
      <c r="Q247" s="148"/>
      <c r="R247" s="149"/>
      <c r="S247" s="154"/>
    </row>
    <row r="248" spans="1:19" ht="15.75" thickBot="1" x14ac:dyDescent="0.3">
      <c r="A248" s="10"/>
      <c r="B248" s="159" t="s">
        <v>228</v>
      </c>
      <c r="C248" s="160"/>
      <c r="D248" s="160"/>
      <c r="E248" s="160"/>
      <c r="F248" s="160"/>
      <c r="G248" s="150"/>
      <c r="H248" s="151"/>
      <c r="I248" s="11" t="s">
        <v>229</v>
      </c>
      <c r="K248" s="10"/>
      <c r="L248" s="159" t="s">
        <v>228</v>
      </c>
      <c r="M248" s="160"/>
      <c r="N248" s="160"/>
      <c r="O248" s="160"/>
      <c r="P248" s="160"/>
      <c r="Q248" s="150"/>
      <c r="R248" s="151"/>
      <c r="S248" s="11" t="s">
        <v>229</v>
      </c>
    </row>
    <row r="249" spans="1:19" x14ac:dyDescent="0.25">
      <c r="A249" s="12"/>
      <c r="B249" s="125" t="s">
        <v>230</v>
      </c>
      <c r="C249" s="126"/>
      <c r="D249" s="126"/>
      <c r="E249" s="126"/>
      <c r="F249" s="126"/>
      <c r="G249" s="86">
        <f>0.048*12*F234</f>
        <v>2561.5872000000004</v>
      </c>
      <c r="H249" s="87"/>
      <c r="I249" s="129" t="s">
        <v>220</v>
      </c>
      <c r="K249" s="12"/>
      <c r="L249" s="125" t="s">
        <v>230</v>
      </c>
      <c r="M249" s="126"/>
      <c r="N249" s="126"/>
      <c r="O249" s="126"/>
      <c r="P249" s="126"/>
      <c r="Q249" s="86">
        <f>0.04*12*P234</f>
        <v>5237.0879999999997</v>
      </c>
      <c r="R249" s="87"/>
      <c r="S249" s="129" t="s">
        <v>220</v>
      </c>
    </row>
    <row r="250" spans="1:19" ht="15.75" thickBot="1" x14ac:dyDescent="0.3">
      <c r="A250" s="7"/>
      <c r="B250" s="131" t="s">
        <v>231</v>
      </c>
      <c r="C250" s="132"/>
      <c r="D250" s="132"/>
      <c r="E250" s="132"/>
      <c r="F250" s="132"/>
      <c r="G250" s="127"/>
      <c r="H250" s="128"/>
      <c r="I250" s="130"/>
      <c r="K250" s="7"/>
      <c r="L250" s="131" t="s">
        <v>231</v>
      </c>
      <c r="M250" s="132"/>
      <c r="N250" s="132"/>
      <c r="O250" s="132"/>
      <c r="P250" s="132"/>
      <c r="Q250" s="127"/>
      <c r="R250" s="128"/>
      <c r="S250" s="130"/>
    </row>
    <row r="251" spans="1:19" ht="15.75" thickBot="1" x14ac:dyDescent="0.3">
      <c r="A251" s="13"/>
      <c r="B251" s="133" t="s">
        <v>232</v>
      </c>
      <c r="C251" s="134"/>
      <c r="D251" s="134"/>
      <c r="E251" s="134"/>
      <c r="F251" s="134"/>
      <c r="G251" s="135"/>
      <c r="H251" s="136"/>
      <c r="I251" s="14"/>
      <c r="K251" s="13"/>
      <c r="L251" s="133" t="s">
        <v>232</v>
      </c>
      <c r="M251" s="134"/>
      <c r="N251" s="134"/>
      <c r="O251" s="134"/>
      <c r="P251" s="134"/>
      <c r="Q251" s="135"/>
      <c r="R251" s="136"/>
      <c r="S251" s="14"/>
    </row>
    <row r="252" spans="1:19" ht="15.75" thickBot="1" x14ac:dyDescent="0.3">
      <c r="A252" s="13"/>
      <c r="B252" s="84" t="s">
        <v>233</v>
      </c>
      <c r="C252" s="85"/>
      <c r="D252" s="85"/>
      <c r="E252" s="85"/>
      <c r="F252" s="85"/>
      <c r="G252" s="86">
        <f>1.59*12*F234</f>
        <v>84852.576000000001</v>
      </c>
      <c r="H252" s="87"/>
      <c r="I252" s="317" t="s">
        <v>544</v>
      </c>
      <c r="K252" s="13"/>
      <c r="L252" s="84" t="s">
        <v>233</v>
      </c>
      <c r="M252" s="85"/>
      <c r="N252" s="85"/>
      <c r="O252" s="85"/>
      <c r="P252" s="85"/>
      <c r="Q252" s="86">
        <f>1.55*12*P234</f>
        <v>202937.16000000003</v>
      </c>
      <c r="R252" s="87"/>
      <c r="S252" s="317" t="s">
        <v>553</v>
      </c>
    </row>
    <row r="253" spans="1:19" ht="31.5" customHeight="1" x14ac:dyDescent="0.25">
      <c r="A253" s="118"/>
      <c r="B253" s="121" t="s">
        <v>226</v>
      </c>
      <c r="C253" s="122"/>
      <c r="D253" s="122"/>
      <c r="E253" s="122"/>
      <c r="F253" s="122"/>
      <c r="G253" s="88"/>
      <c r="H253" s="89"/>
      <c r="I253" s="318"/>
      <c r="K253" s="118"/>
      <c r="L253" s="121" t="s">
        <v>226</v>
      </c>
      <c r="M253" s="122"/>
      <c r="N253" s="122"/>
      <c r="O253" s="122"/>
      <c r="P253" s="122"/>
      <c r="Q253" s="88"/>
      <c r="R253" s="89"/>
      <c r="S253" s="318"/>
    </row>
    <row r="254" spans="1:19" ht="24.75" customHeight="1" x14ac:dyDescent="0.25">
      <c r="A254" s="119"/>
      <c r="B254" s="121" t="s">
        <v>227</v>
      </c>
      <c r="C254" s="122"/>
      <c r="D254" s="122"/>
      <c r="E254" s="122"/>
      <c r="F254" s="122"/>
      <c r="G254" s="88"/>
      <c r="H254" s="89"/>
      <c r="I254" s="318"/>
      <c r="K254" s="119"/>
      <c r="L254" s="121" t="s">
        <v>227</v>
      </c>
      <c r="M254" s="122"/>
      <c r="N254" s="122"/>
      <c r="O254" s="122"/>
      <c r="P254" s="122"/>
      <c r="Q254" s="88"/>
      <c r="R254" s="89"/>
      <c r="S254" s="318"/>
    </row>
    <row r="255" spans="1:19" ht="30" customHeight="1" x14ac:dyDescent="0.25">
      <c r="A255" s="119"/>
      <c r="B255" s="121" t="s">
        <v>228</v>
      </c>
      <c r="C255" s="122"/>
      <c r="D255" s="122"/>
      <c r="E255" s="122"/>
      <c r="F255" s="122"/>
      <c r="G255" s="88"/>
      <c r="H255" s="89"/>
      <c r="I255" s="318"/>
      <c r="K255" s="119"/>
      <c r="L255" s="121" t="s">
        <v>228</v>
      </c>
      <c r="M255" s="122"/>
      <c r="N255" s="122"/>
      <c r="O255" s="122"/>
      <c r="P255" s="122"/>
      <c r="Q255" s="88"/>
      <c r="R255" s="89"/>
      <c r="S255" s="318"/>
    </row>
    <row r="256" spans="1:19" ht="128.44999999999999" customHeight="1" thickBot="1" x14ac:dyDescent="0.3">
      <c r="A256" s="120"/>
      <c r="B256" s="123" t="s">
        <v>234</v>
      </c>
      <c r="C256" s="124"/>
      <c r="D256" s="124"/>
      <c r="E256" s="124"/>
      <c r="F256" s="124"/>
      <c r="G256" s="90"/>
      <c r="H256" s="91"/>
      <c r="I256" s="319"/>
      <c r="K256" s="120"/>
      <c r="L256" s="123" t="s">
        <v>234</v>
      </c>
      <c r="M256" s="124"/>
      <c r="N256" s="124"/>
      <c r="O256" s="124"/>
      <c r="P256" s="124"/>
      <c r="Q256" s="90"/>
      <c r="R256" s="91"/>
      <c r="S256" s="319"/>
    </row>
    <row r="257" spans="1:19" ht="18.75" customHeight="1" thickBot="1" x14ac:dyDescent="0.3">
      <c r="A257" s="15"/>
      <c r="B257" s="137"/>
      <c r="C257" s="138"/>
      <c r="D257" s="138"/>
      <c r="E257" s="138"/>
      <c r="F257" s="138"/>
      <c r="G257" s="139"/>
      <c r="H257" s="140"/>
      <c r="I257" s="16"/>
      <c r="K257" s="15"/>
      <c r="L257" s="137"/>
      <c r="M257" s="138"/>
      <c r="N257" s="138"/>
      <c r="O257" s="138"/>
      <c r="P257" s="138"/>
      <c r="Q257" s="139"/>
      <c r="R257" s="140"/>
      <c r="S257" s="16"/>
    </row>
    <row r="258" spans="1:19" ht="30.75" customHeight="1" thickBot="1" x14ac:dyDescent="0.3">
      <c r="A258" s="15"/>
      <c r="B258" s="137" t="s">
        <v>235</v>
      </c>
      <c r="C258" s="138"/>
      <c r="D258" s="138"/>
      <c r="E258" s="138"/>
      <c r="F258" s="138"/>
      <c r="G258" s="139"/>
      <c r="H258" s="140"/>
      <c r="I258" s="16"/>
      <c r="K258" s="15"/>
      <c r="L258" s="137" t="s">
        <v>235</v>
      </c>
      <c r="M258" s="138"/>
      <c r="N258" s="138"/>
      <c r="O258" s="138"/>
      <c r="P258" s="138"/>
      <c r="Q258" s="139"/>
      <c r="R258" s="140"/>
      <c r="S258" s="16"/>
    </row>
    <row r="259" spans="1:19" ht="33.75" customHeight="1" thickBot="1" x14ac:dyDescent="0.3">
      <c r="A259" s="17"/>
      <c r="B259" s="78" t="s">
        <v>237</v>
      </c>
      <c r="C259" s="79"/>
      <c r="D259" s="79"/>
      <c r="E259" s="79"/>
      <c r="F259" s="79"/>
      <c r="G259" s="86">
        <v>5870</v>
      </c>
      <c r="H259" s="87"/>
      <c r="I259" s="108" t="s">
        <v>229</v>
      </c>
      <c r="K259" s="17"/>
      <c r="L259" s="78" t="s">
        <v>237</v>
      </c>
      <c r="M259" s="79"/>
      <c r="N259" s="79"/>
      <c r="O259" s="79"/>
      <c r="P259" s="79"/>
      <c r="Q259" s="86">
        <f>25857+71662</f>
        <v>97519</v>
      </c>
      <c r="R259" s="87"/>
      <c r="S259" s="108" t="s">
        <v>229</v>
      </c>
    </row>
    <row r="260" spans="1:19" ht="15.75" thickBot="1" x14ac:dyDescent="0.3">
      <c r="A260" s="18"/>
      <c r="B260" s="110" t="s">
        <v>238</v>
      </c>
      <c r="C260" s="111"/>
      <c r="D260" s="111"/>
      <c r="E260" s="111"/>
      <c r="F260" s="111"/>
      <c r="G260" s="90"/>
      <c r="H260" s="91"/>
      <c r="I260" s="109"/>
      <c r="K260" s="18"/>
      <c r="L260" s="110" t="s">
        <v>238</v>
      </c>
      <c r="M260" s="111"/>
      <c r="N260" s="111"/>
      <c r="O260" s="111"/>
      <c r="P260" s="111"/>
      <c r="Q260" s="90"/>
      <c r="R260" s="91"/>
      <c r="S260" s="109"/>
    </row>
    <row r="261" spans="1:19" ht="15.75" thickBot="1" x14ac:dyDescent="0.3">
      <c r="A261" s="19"/>
      <c r="B261" s="112" t="s">
        <v>239</v>
      </c>
      <c r="C261" s="113"/>
      <c r="D261" s="113"/>
      <c r="E261" s="113"/>
      <c r="F261" s="113"/>
      <c r="G261" s="114">
        <f>SUM(G240:H260)</f>
        <v>314754.72320000001</v>
      </c>
      <c r="H261" s="115"/>
      <c r="I261" s="20"/>
      <c r="K261" s="19"/>
      <c r="L261" s="112" t="s">
        <v>239</v>
      </c>
      <c r="M261" s="113"/>
      <c r="N261" s="113"/>
      <c r="O261" s="113"/>
      <c r="P261" s="113"/>
      <c r="Q261" s="114">
        <f>SUM(Q240:R260)</f>
        <v>969192.11680000008</v>
      </c>
      <c r="R261" s="115"/>
      <c r="S261" s="20"/>
    </row>
    <row r="262" spans="1:19" ht="21.75" customHeight="1" thickBot="1" x14ac:dyDescent="0.3">
      <c r="A262" s="21"/>
      <c r="B262" s="101" t="s">
        <v>240</v>
      </c>
      <c r="C262" s="102"/>
      <c r="D262" s="102"/>
      <c r="E262" s="102"/>
      <c r="F262" s="102"/>
      <c r="G262" s="116">
        <f>G261*1.2</f>
        <v>377705.66784000001</v>
      </c>
      <c r="H262" s="117"/>
      <c r="I262" s="22"/>
      <c r="K262" s="21"/>
      <c r="L262" s="101" t="s">
        <v>240</v>
      </c>
      <c r="M262" s="102"/>
      <c r="N262" s="102"/>
      <c r="O262" s="102"/>
      <c r="P262" s="102"/>
      <c r="Q262" s="116">
        <f>Q261*1.2</f>
        <v>1163030.5401600001</v>
      </c>
      <c r="R262" s="117"/>
      <c r="S262" s="22"/>
    </row>
    <row r="263" spans="1:19" ht="21.75" customHeight="1" thickBot="1" x14ac:dyDescent="0.3">
      <c r="A263" s="24"/>
      <c r="B263" s="96" t="s">
        <v>443</v>
      </c>
      <c r="C263" s="97"/>
      <c r="D263" s="97"/>
      <c r="E263" s="97"/>
      <c r="F263" s="97"/>
      <c r="G263" s="311">
        <v>390413.2</v>
      </c>
      <c r="H263" s="312"/>
      <c r="I263" s="313"/>
      <c r="K263" s="24"/>
      <c r="L263" s="96" t="s">
        <v>443</v>
      </c>
      <c r="M263" s="97"/>
      <c r="N263" s="97"/>
      <c r="O263" s="97"/>
      <c r="P263" s="97"/>
      <c r="Q263" s="311">
        <v>1145848.8899999999</v>
      </c>
      <c r="R263" s="312"/>
      <c r="S263" s="313"/>
    </row>
    <row r="264" spans="1:19" ht="21.75" customHeight="1" thickBot="1" x14ac:dyDescent="0.3">
      <c r="A264" s="19"/>
      <c r="B264" s="101" t="s">
        <v>242</v>
      </c>
      <c r="C264" s="102"/>
      <c r="D264" s="102"/>
      <c r="E264" s="102"/>
      <c r="F264" s="102"/>
      <c r="G264" s="307">
        <v>391990.68</v>
      </c>
      <c r="H264" s="308"/>
      <c r="I264" s="309"/>
      <c r="K264" s="19"/>
      <c r="L264" s="101" t="s">
        <v>242</v>
      </c>
      <c r="M264" s="102"/>
      <c r="N264" s="102"/>
      <c r="O264" s="102"/>
      <c r="P264" s="102"/>
      <c r="Q264" s="307">
        <v>1155192.44</v>
      </c>
      <c r="R264" s="308"/>
      <c r="S264" s="309"/>
    </row>
    <row r="265" spans="1:19" ht="21.75" customHeight="1" thickBot="1" x14ac:dyDescent="0.3">
      <c r="A265" s="19"/>
      <c r="B265" s="106" t="s">
        <v>444</v>
      </c>
      <c r="C265" s="107"/>
      <c r="D265" s="107"/>
      <c r="E265" s="107"/>
      <c r="F265" s="107"/>
      <c r="G265" s="307">
        <v>67478.960000000006</v>
      </c>
      <c r="H265" s="308"/>
      <c r="I265" s="309"/>
      <c r="K265" s="19"/>
      <c r="L265" s="106" t="s">
        <v>444</v>
      </c>
      <c r="M265" s="107"/>
      <c r="N265" s="107"/>
      <c r="O265" s="107"/>
      <c r="P265" s="107"/>
      <c r="Q265" s="307">
        <v>195162.74</v>
      </c>
      <c r="R265" s="308"/>
      <c r="S265" s="309"/>
    </row>
    <row r="266" spans="1:19" ht="27" customHeight="1" x14ac:dyDescent="0.25">
      <c r="A266" s="195" t="s">
        <v>543</v>
      </c>
      <c r="B266" s="204"/>
      <c r="C266" s="204"/>
      <c r="D266" s="204"/>
      <c r="E266" s="204"/>
      <c r="F266" s="204"/>
      <c r="G266" s="204"/>
      <c r="H266" s="204"/>
      <c r="I266" s="204"/>
      <c r="K266" s="4"/>
      <c r="L266" s="195"/>
      <c r="M266" s="195"/>
      <c r="N266" s="195"/>
      <c r="O266" s="195"/>
      <c r="P266" s="195"/>
      <c r="Q266" s="195"/>
      <c r="R266" s="195"/>
      <c r="S266" s="195"/>
    </row>
    <row r="267" spans="1:19" x14ac:dyDescent="0.25">
      <c r="E267" s="50"/>
      <c r="I267" s="5"/>
      <c r="O267" s="50"/>
      <c r="S267" s="5"/>
    </row>
    <row r="268" spans="1:19" x14ac:dyDescent="0.25">
      <c r="A268" s="3"/>
      <c r="I268" s="5"/>
      <c r="K268" s="3"/>
      <c r="S268" s="5"/>
    </row>
    <row r="269" spans="1:19" ht="15.75" x14ac:dyDescent="0.25">
      <c r="A269" s="3"/>
      <c r="C269" s="30"/>
      <c r="K269" s="3"/>
      <c r="M269" s="30"/>
    </row>
    <row r="270" spans="1:19" ht="15.75" x14ac:dyDescent="0.25">
      <c r="A270" s="30"/>
      <c r="C270" s="30"/>
      <c r="K270" s="30"/>
      <c r="M270" s="30"/>
    </row>
  </sheetData>
  <mergeCells count="770">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S28:S29"/>
    <mergeCell ref="B29:F29"/>
    <mergeCell ref="L29:P29"/>
    <mergeCell ref="B26:F26"/>
    <mergeCell ref="G26:H26"/>
    <mergeCell ref="L26:P26"/>
    <mergeCell ref="Q26:R26"/>
    <mergeCell ref="B27:F27"/>
    <mergeCell ref="G27:H27"/>
    <mergeCell ref="L27:P27"/>
    <mergeCell ref="Q27:R27"/>
    <mergeCell ref="B30:F30"/>
    <mergeCell ref="G30:H30"/>
    <mergeCell ref="L30:P30"/>
    <mergeCell ref="Q30:R30"/>
    <mergeCell ref="B31:F31"/>
    <mergeCell ref="G31:H31"/>
    <mergeCell ref="L31:P31"/>
    <mergeCell ref="Q31:R31"/>
    <mergeCell ref="B28:F28"/>
    <mergeCell ref="G28:H29"/>
    <mergeCell ref="I28:I29"/>
    <mergeCell ref="L28:P28"/>
    <mergeCell ref="Q28:R29"/>
    <mergeCell ref="B34:F34"/>
    <mergeCell ref="G34:I34"/>
    <mergeCell ref="L34:P34"/>
    <mergeCell ref="Q34:S34"/>
    <mergeCell ref="B35:I35"/>
    <mergeCell ref="L35:S35"/>
    <mergeCell ref="B32:F32"/>
    <mergeCell ref="G32:I32"/>
    <mergeCell ref="L32:P32"/>
    <mergeCell ref="Q32:S32"/>
    <mergeCell ref="B33:F33"/>
    <mergeCell ref="G33:I33"/>
    <mergeCell ref="L33:P33"/>
    <mergeCell ref="Q33:S33"/>
    <mergeCell ref="Q44:R45"/>
    <mergeCell ref="S44:S45"/>
    <mergeCell ref="A46:A47"/>
    <mergeCell ref="B46:F47"/>
    <mergeCell ref="G46:I47"/>
    <mergeCell ref="K46:K47"/>
    <mergeCell ref="L46:P47"/>
    <mergeCell ref="Q46:S47"/>
    <mergeCell ref="A44:A45"/>
    <mergeCell ref="B44:F45"/>
    <mergeCell ref="G44:H45"/>
    <mergeCell ref="I44:I45"/>
    <mergeCell ref="K44:K45"/>
    <mergeCell ref="L44:P45"/>
    <mergeCell ref="B48:F48"/>
    <mergeCell ref="G48:H50"/>
    <mergeCell ref="I48:I49"/>
    <mergeCell ref="L48:P48"/>
    <mergeCell ref="Q48:R50"/>
    <mergeCell ref="S48:S49"/>
    <mergeCell ref="B49:F49"/>
    <mergeCell ref="L49:P49"/>
    <mergeCell ref="B50:F50"/>
    <mergeCell ref="L50:P50"/>
    <mergeCell ref="B55:F55"/>
    <mergeCell ref="L55:P55"/>
    <mergeCell ref="B51:F51"/>
    <mergeCell ref="G51:H51"/>
    <mergeCell ref="L51:P51"/>
    <mergeCell ref="Q51:R51"/>
    <mergeCell ref="B52:F52"/>
    <mergeCell ref="G52:H52"/>
    <mergeCell ref="L52:P52"/>
    <mergeCell ref="Q52:R52"/>
    <mergeCell ref="B53:F53"/>
    <mergeCell ref="G53:H56"/>
    <mergeCell ref="I53:I55"/>
    <mergeCell ref="L53:P53"/>
    <mergeCell ref="B60:F60"/>
    <mergeCell ref="G60:H64"/>
    <mergeCell ref="I60:I64"/>
    <mergeCell ref="L60:P60"/>
    <mergeCell ref="Q53:R56"/>
    <mergeCell ref="B56:F56"/>
    <mergeCell ref="L56:P56"/>
    <mergeCell ref="Q60:R64"/>
    <mergeCell ref="S60:S64"/>
    <mergeCell ref="Q57:R58"/>
    <mergeCell ref="S57:S58"/>
    <mergeCell ref="B58:F58"/>
    <mergeCell ref="L58:P58"/>
    <mergeCell ref="B59:F59"/>
    <mergeCell ref="G59:H59"/>
    <mergeCell ref="L59:P59"/>
    <mergeCell ref="Q59:R59"/>
    <mergeCell ref="B57:F57"/>
    <mergeCell ref="G57:H58"/>
    <mergeCell ref="I57:I58"/>
    <mergeCell ref="L57:P57"/>
    <mergeCell ref="S53:S55"/>
    <mergeCell ref="B54:F54"/>
    <mergeCell ref="L54:P54"/>
    <mergeCell ref="A61:A64"/>
    <mergeCell ref="B61:F61"/>
    <mergeCell ref="K61:K64"/>
    <mergeCell ref="L61:P61"/>
    <mergeCell ref="B62:F62"/>
    <mergeCell ref="L62:P62"/>
    <mergeCell ref="B63:F63"/>
    <mergeCell ref="L63:P63"/>
    <mergeCell ref="B64:F64"/>
    <mergeCell ref="L64:P64"/>
    <mergeCell ref="B67:F67"/>
    <mergeCell ref="G67:H68"/>
    <mergeCell ref="I67:I68"/>
    <mergeCell ref="L67:P67"/>
    <mergeCell ref="Q67:R68"/>
    <mergeCell ref="S67:S68"/>
    <mergeCell ref="B68:F68"/>
    <mergeCell ref="L68:P68"/>
    <mergeCell ref="B65:F65"/>
    <mergeCell ref="G65:H65"/>
    <mergeCell ref="L65:P65"/>
    <mergeCell ref="Q65:R65"/>
    <mergeCell ref="B66:F66"/>
    <mergeCell ref="G66:H66"/>
    <mergeCell ref="L66:P66"/>
    <mergeCell ref="Q66:R66"/>
    <mergeCell ref="B71:F71"/>
    <mergeCell ref="G71:I71"/>
    <mergeCell ref="L71:P71"/>
    <mergeCell ref="Q71:S71"/>
    <mergeCell ref="B72:F72"/>
    <mergeCell ref="G72:I72"/>
    <mergeCell ref="L72:P72"/>
    <mergeCell ref="Q72:S72"/>
    <mergeCell ref="B69:F69"/>
    <mergeCell ref="G69:H69"/>
    <mergeCell ref="L69:P69"/>
    <mergeCell ref="Q69:R69"/>
    <mergeCell ref="B70:F70"/>
    <mergeCell ref="G70:H70"/>
    <mergeCell ref="L70:P70"/>
    <mergeCell ref="Q70:R70"/>
    <mergeCell ref="Q80:R81"/>
    <mergeCell ref="S80:S81"/>
    <mergeCell ref="A82:A83"/>
    <mergeCell ref="B82:F83"/>
    <mergeCell ref="G82:I83"/>
    <mergeCell ref="K82:K83"/>
    <mergeCell ref="L82:P83"/>
    <mergeCell ref="Q82:S83"/>
    <mergeCell ref="B73:F73"/>
    <mergeCell ref="G73:I73"/>
    <mergeCell ref="L73:P73"/>
    <mergeCell ref="Q73:S73"/>
    <mergeCell ref="A80:A81"/>
    <mergeCell ref="B80:F81"/>
    <mergeCell ref="G80:H81"/>
    <mergeCell ref="I80:I81"/>
    <mergeCell ref="K80:K81"/>
    <mergeCell ref="L80:P81"/>
    <mergeCell ref="C74:I74"/>
    <mergeCell ref="L74:S74"/>
    <mergeCell ref="B84:F84"/>
    <mergeCell ref="G84:H86"/>
    <mergeCell ref="I84:I85"/>
    <mergeCell ref="L84:P84"/>
    <mergeCell ref="Q84:R86"/>
    <mergeCell ref="S84:S85"/>
    <mergeCell ref="B85:F85"/>
    <mergeCell ref="L85:P85"/>
    <mergeCell ref="B86:F86"/>
    <mergeCell ref="L86:P86"/>
    <mergeCell ref="B91:F91"/>
    <mergeCell ref="L91:P91"/>
    <mergeCell ref="B87:F87"/>
    <mergeCell ref="G87:H87"/>
    <mergeCell ref="L87:P87"/>
    <mergeCell ref="Q87:R87"/>
    <mergeCell ref="B88:F88"/>
    <mergeCell ref="G88:H88"/>
    <mergeCell ref="L88:P88"/>
    <mergeCell ref="Q88:R88"/>
    <mergeCell ref="B89:F89"/>
    <mergeCell ref="G89:H92"/>
    <mergeCell ref="I89:I91"/>
    <mergeCell ref="L89:P89"/>
    <mergeCell ref="B96:F96"/>
    <mergeCell ref="G96:H100"/>
    <mergeCell ref="I96:I100"/>
    <mergeCell ref="L96:P96"/>
    <mergeCell ref="Q89:R92"/>
    <mergeCell ref="B92:F92"/>
    <mergeCell ref="L92:P92"/>
    <mergeCell ref="Q96:R100"/>
    <mergeCell ref="S96:S100"/>
    <mergeCell ref="Q93:R94"/>
    <mergeCell ref="S93:S94"/>
    <mergeCell ref="B94:F94"/>
    <mergeCell ref="L94:P94"/>
    <mergeCell ref="B95:F95"/>
    <mergeCell ref="G95:H95"/>
    <mergeCell ref="L95:P95"/>
    <mergeCell ref="Q95:R95"/>
    <mergeCell ref="B93:F93"/>
    <mergeCell ref="G93:H94"/>
    <mergeCell ref="I93:I94"/>
    <mergeCell ref="L93:P93"/>
    <mergeCell ref="S89:S91"/>
    <mergeCell ref="B90:F90"/>
    <mergeCell ref="L90:P90"/>
    <mergeCell ref="A97:A100"/>
    <mergeCell ref="B97:F97"/>
    <mergeCell ref="K97:K100"/>
    <mergeCell ref="L97:P97"/>
    <mergeCell ref="B98:F98"/>
    <mergeCell ref="L98:P98"/>
    <mergeCell ref="B99:F99"/>
    <mergeCell ref="L99:P99"/>
    <mergeCell ref="B100:F100"/>
    <mergeCell ref="L100:P100"/>
    <mergeCell ref="S103:S104"/>
    <mergeCell ref="B104:F104"/>
    <mergeCell ref="L104:P104"/>
    <mergeCell ref="B101:F101"/>
    <mergeCell ref="G101:H101"/>
    <mergeCell ref="L101:P101"/>
    <mergeCell ref="Q101:R101"/>
    <mergeCell ref="B102:F102"/>
    <mergeCell ref="G102:H102"/>
    <mergeCell ref="L102:P102"/>
    <mergeCell ref="Q102:R102"/>
    <mergeCell ref="B105:F105"/>
    <mergeCell ref="G105:H105"/>
    <mergeCell ref="L105:P105"/>
    <mergeCell ref="Q105:R105"/>
    <mergeCell ref="B106:F106"/>
    <mergeCell ref="G106:H106"/>
    <mergeCell ref="L106:P106"/>
    <mergeCell ref="Q106:R106"/>
    <mergeCell ref="B103:F103"/>
    <mergeCell ref="G103:H104"/>
    <mergeCell ref="I103:I104"/>
    <mergeCell ref="L103:P103"/>
    <mergeCell ref="Q103:R104"/>
    <mergeCell ref="B109:F109"/>
    <mergeCell ref="G109:I109"/>
    <mergeCell ref="L109:P109"/>
    <mergeCell ref="Q109:S109"/>
    <mergeCell ref="L110:S110"/>
    <mergeCell ref="L111:S111"/>
    <mergeCell ref="B107:F107"/>
    <mergeCell ref="G107:I107"/>
    <mergeCell ref="L107:P107"/>
    <mergeCell ref="Q107:S107"/>
    <mergeCell ref="B108:F108"/>
    <mergeCell ref="G108:I108"/>
    <mergeCell ref="L108:P108"/>
    <mergeCell ref="Q108:S108"/>
    <mergeCell ref="A121:A122"/>
    <mergeCell ref="B121:F122"/>
    <mergeCell ref="G121:I122"/>
    <mergeCell ref="K121:K122"/>
    <mergeCell ref="L121:P122"/>
    <mergeCell ref="Q121:S122"/>
    <mergeCell ref="L112:S112"/>
    <mergeCell ref="A119:A120"/>
    <mergeCell ref="B119:F120"/>
    <mergeCell ref="G119:H120"/>
    <mergeCell ref="I119:I120"/>
    <mergeCell ref="K119:K120"/>
    <mergeCell ref="L119:P120"/>
    <mergeCell ref="Q119:R120"/>
    <mergeCell ref="S119:S120"/>
    <mergeCell ref="B123:F123"/>
    <mergeCell ref="G123:H125"/>
    <mergeCell ref="I123:I124"/>
    <mergeCell ref="L123:P123"/>
    <mergeCell ref="Q123:R125"/>
    <mergeCell ref="S123:S124"/>
    <mergeCell ref="B124:F124"/>
    <mergeCell ref="L124:P124"/>
    <mergeCell ref="B125:F125"/>
    <mergeCell ref="L125:P125"/>
    <mergeCell ref="B130:F130"/>
    <mergeCell ref="L130:P130"/>
    <mergeCell ref="B126:F126"/>
    <mergeCell ref="G126:H126"/>
    <mergeCell ref="L126:P126"/>
    <mergeCell ref="Q126:R126"/>
    <mergeCell ref="B127:F127"/>
    <mergeCell ref="G127:H127"/>
    <mergeCell ref="L127:P127"/>
    <mergeCell ref="Q127:R127"/>
    <mergeCell ref="B128:F128"/>
    <mergeCell ref="G128:H131"/>
    <mergeCell ref="I128:I130"/>
    <mergeCell ref="L128:P128"/>
    <mergeCell ref="B135:F135"/>
    <mergeCell ref="G135:H139"/>
    <mergeCell ref="I135:I139"/>
    <mergeCell ref="L135:P135"/>
    <mergeCell ref="Q128:R131"/>
    <mergeCell ref="B131:F131"/>
    <mergeCell ref="L131:P131"/>
    <mergeCell ref="Q135:R139"/>
    <mergeCell ref="S135:S139"/>
    <mergeCell ref="Q132:R133"/>
    <mergeCell ref="S132:S133"/>
    <mergeCell ref="B133:F133"/>
    <mergeCell ref="L133:P133"/>
    <mergeCell ref="B134:F134"/>
    <mergeCell ref="G134:H134"/>
    <mergeCell ref="L134:P134"/>
    <mergeCell ref="Q134:R134"/>
    <mergeCell ref="B132:F132"/>
    <mergeCell ref="G132:H133"/>
    <mergeCell ref="I132:I133"/>
    <mergeCell ref="L132:P132"/>
    <mergeCell ref="S128:S130"/>
    <mergeCell ref="B129:F129"/>
    <mergeCell ref="L129:P129"/>
    <mergeCell ref="A136:A139"/>
    <mergeCell ref="B136:F136"/>
    <mergeCell ref="K136:K139"/>
    <mergeCell ref="L136:P136"/>
    <mergeCell ref="B137:F137"/>
    <mergeCell ref="L137:P137"/>
    <mergeCell ref="B138:F138"/>
    <mergeCell ref="L138:P138"/>
    <mergeCell ref="B139:F139"/>
    <mergeCell ref="L139:P139"/>
    <mergeCell ref="B142:F142"/>
    <mergeCell ref="G142:H143"/>
    <mergeCell ref="I142:I143"/>
    <mergeCell ref="L142:P142"/>
    <mergeCell ref="Q142:R143"/>
    <mergeCell ref="S142:S143"/>
    <mergeCell ref="B143:F143"/>
    <mergeCell ref="L143:P143"/>
    <mergeCell ref="B140:F140"/>
    <mergeCell ref="G140:H140"/>
    <mergeCell ref="L140:P140"/>
    <mergeCell ref="Q140:R140"/>
    <mergeCell ref="B141:F141"/>
    <mergeCell ref="G141:H141"/>
    <mergeCell ref="L141:P141"/>
    <mergeCell ref="Q141:R141"/>
    <mergeCell ref="B146:F146"/>
    <mergeCell ref="G146:I146"/>
    <mergeCell ref="L146:P146"/>
    <mergeCell ref="Q146:S146"/>
    <mergeCell ref="B147:F147"/>
    <mergeCell ref="G147:I147"/>
    <mergeCell ref="L147:P147"/>
    <mergeCell ref="Q147:S147"/>
    <mergeCell ref="B144:F144"/>
    <mergeCell ref="G144:H144"/>
    <mergeCell ref="L144:P144"/>
    <mergeCell ref="Q144:R144"/>
    <mergeCell ref="B145:F145"/>
    <mergeCell ref="G145:H145"/>
    <mergeCell ref="L145:P145"/>
    <mergeCell ref="Q145:R145"/>
    <mergeCell ref="B148:F148"/>
    <mergeCell ref="G148:I148"/>
    <mergeCell ref="L148:P148"/>
    <mergeCell ref="Q148:S148"/>
    <mergeCell ref="B149:I149"/>
    <mergeCell ref="A158:A159"/>
    <mergeCell ref="B158:F159"/>
    <mergeCell ref="G158:H159"/>
    <mergeCell ref="I158:I159"/>
    <mergeCell ref="K158:K159"/>
    <mergeCell ref="L158:P159"/>
    <mergeCell ref="Q158:R159"/>
    <mergeCell ref="S158:S159"/>
    <mergeCell ref="A160:A161"/>
    <mergeCell ref="B160:F161"/>
    <mergeCell ref="G160:I161"/>
    <mergeCell ref="K160:K161"/>
    <mergeCell ref="L160:P161"/>
    <mergeCell ref="Q160:S161"/>
    <mergeCell ref="B162:F162"/>
    <mergeCell ref="G162:H164"/>
    <mergeCell ref="I162:I163"/>
    <mergeCell ref="L162:P162"/>
    <mergeCell ref="Q162:R164"/>
    <mergeCell ref="S162:S163"/>
    <mergeCell ref="B163:F163"/>
    <mergeCell ref="L163:P163"/>
    <mergeCell ref="B164:F164"/>
    <mergeCell ref="L164:P164"/>
    <mergeCell ref="B169:F169"/>
    <mergeCell ref="L169:P169"/>
    <mergeCell ref="B165:F165"/>
    <mergeCell ref="G165:H165"/>
    <mergeCell ref="L165:P165"/>
    <mergeCell ref="Q165:R165"/>
    <mergeCell ref="B166:F166"/>
    <mergeCell ref="G166:H166"/>
    <mergeCell ref="L166:P166"/>
    <mergeCell ref="Q166:R166"/>
    <mergeCell ref="B167:F167"/>
    <mergeCell ref="G167:H170"/>
    <mergeCell ref="I167:I169"/>
    <mergeCell ref="L167:P167"/>
    <mergeCell ref="B174:F174"/>
    <mergeCell ref="G174:H178"/>
    <mergeCell ref="I174:I178"/>
    <mergeCell ref="L174:P174"/>
    <mergeCell ref="Q167:R170"/>
    <mergeCell ref="B170:F170"/>
    <mergeCell ref="L170:P170"/>
    <mergeCell ref="Q174:R178"/>
    <mergeCell ref="S174:S178"/>
    <mergeCell ref="Q171:R172"/>
    <mergeCell ref="S171:S172"/>
    <mergeCell ref="B172:F172"/>
    <mergeCell ref="L172:P172"/>
    <mergeCell ref="B173:F173"/>
    <mergeCell ref="G173:H173"/>
    <mergeCell ref="L173:P173"/>
    <mergeCell ref="Q173:R173"/>
    <mergeCell ref="B171:F171"/>
    <mergeCell ref="G171:H172"/>
    <mergeCell ref="I171:I172"/>
    <mergeCell ref="L171:P171"/>
    <mergeCell ref="S167:S169"/>
    <mergeCell ref="B168:F168"/>
    <mergeCell ref="L168:P168"/>
    <mergeCell ref="A175:A178"/>
    <mergeCell ref="B175:F175"/>
    <mergeCell ref="K175:K178"/>
    <mergeCell ref="L175:P175"/>
    <mergeCell ref="B176:F176"/>
    <mergeCell ref="L176:P176"/>
    <mergeCell ref="B177:F177"/>
    <mergeCell ref="L177:P177"/>
    <mergeCell ref="B178:F178"/>
    <mergeCell ref="L178:P178"/>
    <mergeCell ref="S181:S182"/>
    <mergeCell ref="B182:F182"/>
    <mergeCell ref="L182:P182"/>
    <mergeCell ref="B179:F179"/>
    <mergeCell ref="G179:H179"/>
    <mergeCell ref="L179:P179"/>
    <mergeCell ref="Q179:R179"/>
    <mergeCell ref="B180:F180"/>
    <mergeCell ref="G180:H180"/>
    <mergeCell ref="L180:P180"/>
    <mergeCell ref="Q180:R180"/>
    <mergeCell ref="B183:F183"/>
    <mergeCell ref="G183:H183"/>
    <mergeCell ref="L183:P183"/>
    <mergeCell ref="Q183:R183"/>
    <mergeCell ref="B184:F184"/>
    <mergeCell ref="G184:H184"/>
    <mergeCell ref="L184:P184"/>
    <mergeCell ref="Q184:R184"/>
    <mergeCell ref="B181:F181"/>
    <mergeCell ref="G181:H182"/>
    <mergeCell ref="I181:I182"/>
    <mergeCell ref="L181:P181"/>
    <mergeCell ref="Q181:R182"/>
    <mergeCell ref="B187:F187"/>
    <mergeCell ref="G187:I187"/>
    <mergeCell ref="L187:P187"/>
    <mergeCell ref="Q187:S187"/>
    <mergeCell ref="B188:I188"/>
    <mergeCell ref="L188:S188"/>
    <mergeCell ref="B185:F185"/>
    <mergeCell ref="G185:I185"/>
    <mergeCell ref="L185:P185"/>
    <mergeCell ref="Q185:S185"/>
    <mergeCell ref="B186:F186"/>
    <mergeCell ref="G186:I186"/>
    <mergeCell ref="L186:P186"/>
    <mergeCell ref="Q186:S186"/>
    <mergeCell ref="Q197:R198"/>
    <mergeCell ref="S197:S198"/>
    <mergeCell ref="A199:A200"/>
    <mergeCell ref="B199:F200"/>
    <mergeCell ref="G199:I200"/>
    <mergeCell ref="K199:K200"/>
    <mergeCell ref="L199:P200"/>
    <mergeCell ref="Q199:S200"/>
    <mergeCell ref="A197:A198"/>
    <mergeCell ref="B197:F198"/>
    <mergeCell ref="G197:H198"/>
    <mergeCell ref="I197:I198"/>
    <mergeCell ref="K197:K198"/>
    <mergeCell ref="L197:P198"/>
    <mergeCell ref="B201:F201"/>
    <mergeCell ref="G201:H203"/>
    <mergeCell ref="I201:I202"/>
    <mergeCell ref="L201:P201"/>
    <mergeCell ref="Q201:R203"/>
    <mergeCell ref="S201:S202"/>
    <mergeCell ref="B202:F202"/>
    <mergeCell ref="L202:P202"/>
    <mergeCell ref="B203:F203"/>
    <mergeCell ref="L203:P203"/>
    <mergeCell ref="B208:F208"/>
    <mergeCell ref="L208:P208"/>
    <mergeCell ref="B204:F204"/>
    <mergeCell ref="G204:H204"/>
    <mergeCell ref="L204:P204"/>
    <mergeCell ref="Q204:R204"/>
    <mergeCell ref="B205:F205"/>
    <mergeCell ref="G205:H205"/>
    <mergeCell ref="L205:P205"/>
    <mergeCell ref="Q205:R205"/>
    <mergeCell ref="B206:F206"/>
    <mergeCell ref="G206:H209"/>
    <mergeCell ref="I206:I208"/>
    <mergeCell ref="L206:P206"/>
    <mergeCell ref="B213:F213"/>
    <mergeCell ref="G213:H217"/>
    <mergeCell ref="I213:I217"/>
    <mergeCell ref="L213:P213"/>
    <mergeCell ref="Q206:R209"/>
    <mergeCell ref="B209:F209"/>
    <mergeCell ref="L209:P209"/>
    <mergeCell ref="Q213:R217"/>
    <mergeCell ref="S213:S217"/>
    <mergeCell ref="Q210:R211"/>
    <mergeCell ref="S210:S211"/>
    <mergeCell ref="B211:F211"/>
    <mergeCell ref="L211:P211"/>
    <mergeCell ref="B212:F212"/>
    <mergeCell ref="G212:H212"/>
    <mergeCell ref="L212:P212"/>
    <mergeCell ref="Q212:R212"/>
    <mergeCell ref="B210:F210"/>
    <mergeCell ref="G210:H211"/>
    <mergeCell ref="I210:I211"/>
    <mergeCell ref="L210:P210"/>
    <mergeCell ref="S206:S208"/>
    <mergeCell ref="B207:F207"/>
    <mergeCell ref="L207:P207"/>
    <mergeCell ref="A214:A217"/>
    <mergeCell ref="B214:F214"/>
    <mergeCell ref="K214:K217"/>
    <mergeCell ref="L214:P214"/>
    <mergeCell ref="B215:F215"/>
    <mergeCell ref="L215:P215"/>
    <mergeCell ref="B216:F216"/>
    <mergeCell ref="L216:P216"/>
    <mergeCell ref="B217:F217"/>
    <mergeCell ref="L217:P217"/>
    <mergeCell ref="S220:S221"/>
    <mergeCell ref="B221:F221"/>
    <mergeCell ref="L221:P221"/>
    <mergeCell ref="B218:F218"/>
    <mergeCell ref="G218:H218"/>
    <mergeCell ref="L218:P218"/>
    <mergeCell ref="Q218:R218"/>
    <mergeCell ref="B219:F219"/>
    <mergeCell ref="G219:H219"/>
    <mergeCell ref="L219:P219"/>
    <mergeCell ref="Q219:R219"/>
    <mergeCell ref="B222:F222"/>
    <mergeCell ref="G222:H222"/>
    <mergeCell ref="L222:P222"/>
    <mergeCell ref="Q222:R222"/>
    <mergeCell ref="B223:F223"/>
    <mergeCell ref="G223:H223"/>
    <mergeCell ref="L223:P223"/>
    <mergeCell ref="Q223:R223"/>
    <mergeCell ref="B220:F220"/>
    <mergeCell ref="G220:H221"/>
    <mergeCell ref="I220:I221"/>
    <mergeCell ref="L220:P220"/>
    <mergeCell ref="Q220:R221"/>
    <mergeCell ref="B226:F226"/>
    <mergeCell ref="G226:I226"/>
    <mergeCell ref="L226:P226"/>
    <mergeCell ref="Q226:S226"/>
    <mergeCell ref="B227:I227"/>
    <mergeCell ref="L227:S227"/>
    <mergeCell ref="B224:F224"/>
    <mergeCell ref="G224:I224"/>
    <mergeCell ref="L224:P224"/>
    <mergeCell ref="Q224:S224"/>
    <mergeCell ref="B225:F225"/>
    <mergeCell ref="G225:I225"/>
    <mergeCell ref="L225:P225"/>
    <mergeCell ref="Q225:S225"/>
    <mergeCell ref="Q236:R237"/>
    <mergeCell ref="S236:S237"/>
    <mergeCell ref="A238:A239"/>
    <mergeCell ref="B238:F239"/>
    <mergeCell ref="G238:I239"/>
    <mergeCell ref="K238:K239"/>
    <mergeCell ref="L238:P239"/>
    <mergeCell ref="Q238:S239"/>
    <mergeCell ref="A236:A237"/>
    <mergeCell ref="B236:F237"/>
    <mergeCell ref="G236:H237"/>
    <mergeCell ref="I236:I237"/>
    <mergeCell ref="K236:K237"/>
    <mergeCell ref="L236:P237"/>
    <mergeCell ref="B240:F240"/>
    <mergeCell ref="G240:H242"/>
    <mergeCell ref="I240:I241"/>
    <mergeCell ref="L240:P240"/>
    <mergeCell ref="Q240:R242"/>
    <mergeCell ref="S240:S241"/>
    <mergeCell ref="B241:F241"/>
    <mergeCell ref="L241:P241"/>
    <mergeCell ref="B242:F242"/>
    <mergeCell ref="L242:P242"/>
    <mergeCell ref="B247:F247"/>
    <mergeCell ref="L247:P247"/>
    <mergeCell ref="B243:F243"/>
    <mergeCell ref="G243:H243"/>
    <mergeCell ref="L243:P243"/>
    <mergeCell ref="Q243:R243"/>
    <mergeCell ref="B244:F244"/>
    <mergeCell ref="G244:H244"/>
    <mergeCell ref="L244:P244"/>
    <mergeCell ref="Q244:R244"/>
    <mergeCell ref="B245:F245"/>
    <mergeCell ref="G245:H248"/>
    <mergeCell ref="I245:I247"/>
    <mergeCell ref="L245:P245"/>
    <mergeCell ref="B252:F252"/>
    <mergeCell ref="G252:H256"/>
    <mergeCell ref="I252:I256"/>
    <mergeCell ref="L252:P252"/>
    <mergeCell ref="Q245:R248"/>
    <mergeCell ref="B248:F248"/>
    <mergeCell ref="L248:P248"/>
    <mergeCell ref="Q252:R256"/>
    <mergeCell ref="S252:S256"/>
    <mergeCell ref="Q249:R250"/>
    <mergeCell ref="S249:S250"/>
    <mergeCell ref="B250:F250"/>
    <mergeCell ref="L250:P250"/>
    <mergeCell ref="B251:F251"/>
    <mergeCell ref="G251:H251"/>
    <mergeCell ref="L251:P251"/>
    <mergeCell ref="Q251:R251"/>
    <mergeCell ref="B249:F249"/>
    <mergeCell ref="G249:H250"/>
    <mergeCell ref="I249:I250"/>
    <mergeCell ref="L249:P249"/>
    <mergeCell ref="S245:S247"/>
    <mergeCell ref="B246:F246"/>
    <mergeCell ref="L246:P246"/>
    <mergeCell ref="A253:A256"/>
    <mergeCell ref="B253:F253"/>
    <mergeCell ref="K253:K256"/>
    <mergeCell ref="L253:P253"/>
    <mergeCell ref="B254:F254"/>
    <mergeCell ref="L254:P254"/>
    <mergeCell ref="B255:F255"/>
    <mergeCell ref="L255:P255"/>
    <mergeCell ref="B256:F256"/>
    <mergeCell ref="L256:P256"/>
    <mergeCell ref="S259:S260"/>
    <mergeCell ref="B260:F260"/>
    <mergeCell ref="L260:P260"/>
    <mergeCell ref="B257:F257"/>
    <mergeCell ref="G257:H257"/>
    <mergeCell ref="L257:P257"/>
    <mergeCell ref="Q257:R257"/>
    <mergeCell ref="B258:F258"/>
    <mergeCell ref="G258:H258"/>
    <mergeCell ref="L258:P258"/>
    <mergeCell ref="Q258:R258"/>
    <mergeCell ref="B261:F261"/>
    <mergeCell ref="G261:H261"/>
    <mergeCell ref="L261:P261"/>
    <mergeCell ref="Q261:R261"/>
    <mergeCell ref="B262:F262"/>
    <mergeCell ref="G262:H262"/>
    <mergeCell ref="L262:P262"/>
    <mergeCell ref="Q262:R262"/>
    <mergeCell ref="B259:F259"/>
    <mergeCell ref="G259:H260"/>
    <mergeCell ref="I259:I260"/>
    <mergeCell ref="L259:P259"/>
    <mergeCell ref="Q259:R260"/>
    <mergeCell ref="B265:F265"/>
    <mergeCell ref="G265:I265"/>
    <mergeCell ref="L265:P265"/>
    <mergeCell ref="Q265:S265"/>
    <mergeCell ref="L266:S266"/>
    <mergeCell ref="B263:F263"/>
    <mergeCell ref="G263:I263"/>
    <mergeCell ref="L263:P263"/>
    <mergeCell ref="Q263:S263"/>
    <mergeCell ref="B264:F264"/>
    <mergeCell ref="G264:I264"/>
    <mergeCell ref="L264:P264"/>
    <mergeCell ref="Q264:S264"/>
    <mergeCell ref="A266:I266"/>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S264"/>
  <sheetViews>
    <sheetView topLeftCell="A240" zoomScale="70" zoomScaleNormal="70" workbookViewId="0">
      <selection activeCell="Q237" sqref="Q237:R237"/>
    </sheetView>
  </sheetViews>
  <sheetFormatPr defaultColWidth="9.140625" defaultRowHeight="15" x14ac:dyDescent="0.25"/>
  <cols>
    <col min="1" max="1" width="3.42578125" customWidth="1"/>
    <col min="7" max="7" width="10" customWidth="1"/>
    <col min="9" max="9" width="58" customWidth="1"/>
    <col min="10" max="10" width="0.42578125" customWidth="1"/>
    <col min="11" max="11" width="4.42578125" customWidth="1"/>
    <col min="17" max="17" width="10.28515625" customWidth="1"/>
    <col min="19" max="19" width="42.7109375" customWidth="1"/>
    <col min="257" max="257" width="3.42578125" customWidth="1"/>
    <col min="263" max="263" width="10" customWidth="1"/>
    <col min="265" max="265" width="58" customWidth="1"/>
    <col min="266" max="266" width="0.42578125" customWidth="1"/>
    <col min="267" max="267" width="4.42578125" customWidth="1"/>
    <col min="273" max="273" width="10.28515625" customWidth="1"/>
    <col min="275" max="275" width="42.7109375" customWidth="1"/>
    <col min="513" max="513" width="3.42578125" customWidth="1"/>
    <col min="519" max="519" width="10" customWidth="1"/>
    <col min="521" max="521" width="58" customWidth="1"/>
    <col min="522" max="522" width="0.42578125" customWidth="1"/>
    <col min="523" max="523" width="4.42578125" customWidth="1"/>
    <col min="529" max="529" width="10.28515625" customWidth="1"/>
    <col min="531" max="531" width="42.7109375" customWidth="1"/>
    <col min="769" max="769" width="3.42578125" customWidth="1"/>
    <col min="775" max="775" width="10" customWidth="1"/>
    <col min="777" max="777" width="58" customWidth="1"/>
    <col min="778" max="778" width="0.42578125" customWidth="1"/>
    <col min="779" max="779" width="4.42578125" customWidth="1"/>
    <col min="785" max="785" width="10.28515625" customWidth="1"/>
    <col min="787" max="787" width="42.7109375" customWidth="1"/>
    <col min="1025" max="1025" width="3.42578125" customWidth="1"/>
    <col min="1031" max="1031" width="10" customWidth="1"/>
    <col min="1033" max="1033" width="58" customWidth="1"/>
    <col min="1034" max="1034" width="0.42578125" customWidth="1"/>
    <col min="1035" max="1035" width="4.42578125" customWidth="1"/>
    <col min="1041" max="1041" width="10.28515625" customWidth="1"/>
    <col min="1043" max="1043" width="42.7109375" customWidth="1"/>
    <col min="1281" max="1281" width="3.42578125" customWidth="1"/>
    <col min="1287" max="1287" width="10" customWidth="1"/>
    <col min="1289" max="1289" width="58" customWidth="1"/>
    <col min="1290" max="1290" width="0.42578125" customWidth="1"/>
    <col min="1291" max="1291" width="4.42578125" customWidth="1"/>
    <col min="1297" max="1297" width="10.28515625" customWidth="1"/>
    <col min="1299" max="1299" width="42.7109375" customWidth="1"/>
    <col min="1537" max="1537" width="3.42578125" customWidth="1"/>
    <col min="1543" max="1543" width="10" customWidth="1"/>
    <col min="1545" max="1545" width="58" customWidth="1"/>
    <col min="1546" max="1546" width="0.42578125" customWidth="1"/>
    <col min="1547" max="1547" width="4.42578125" customWidth="1"/>
    <col min="1553" max="1553" width="10.28515625" customWidth="1"/>
    <col min="1555" max="1555" width="42.7109375" customWidth="1"/>
    <col min="1793" max="1793" width="3.42578125" customWidth="1"/>
    <col min="1799" max="1799" width="10" customWidth="1"/>
    <col min="1801" max="1801" width="58" customWidth="1"/>
    <col min="1802" max="1802" width="0.42578125" customWidth="1"/>
    <col min="1803" max="1803" width="4.42578125" customWidth="1"/>
    <col min="1809" max="1809" width="10.28515625" customWidth="1"/>
    <col min="1811" max="1811" width="42.7109375" customWidth="1"/>
    <col min="2049" max="2049" width="3.42578125" customWidth="1"/>
    <col min="2055" max="2055" width="10" customWidth="1"/>
    <col min="2057" max="2057" width="58" customWidth="1"/>
    <col min="2058" max="2058" width="0.42578125" customWidth="1"/>
    <col min="2059" max="2059" width="4.42578125" customWidth="1"/>
    <col min="2065" max="2065" width="10.28515625" customWidth="1"/>
    <col min="2067" max="2067" width="42.7109375" customWidth="1"/>
    <col min="2305" max="2305" width="3.42578125" customWidth="1"/>
    <col min="2311" max="2311" width="10" customWidth="1"/>
    <col min="2313" max="2313" width="58" customWidth="1"/>
    <col min="2314" max="2314" width="0.42578125" customWidth="1"/>
    <col min="2315" max="2315" width="4.42578125" customWidth="1"/>
    <col min="2321" max="2321" width="10.28515625" customWidth="1"/>
    <col min="2323" max="2323" width="42.7109375" customWidth="1"/>
    <col min="2561" max="2561" width="3.42578125" customWidth="1"/>
    <col min="2567" max="2567" width="10" customWidth="1"/>
    <col min="2569" max="2569" width="58" customWidth="1"/>
    <col min="2570" max="2570" width="0.42578125" customWidth="1"/>
    <col min="2571" max="2571" width="4.42578125" customWidth="1"/>
    <col min="2577" max="2577" width="10.28515625" customWidth="1"/>
    <col min="2579" max="2579" width="42.7109375" customWidth="1"/>
    <col min="2817" max="2817" width="3.42578125" customWidth="1"/>
    <col min="2823" max="2823" width="10" customWidth="1"/>
    <col min="2825" max="2825" width="58" customWidth="1"/>
    <col min="2826" max="2826" width="0.42578125" customWidth="1"/>
    <col min="2827" max="2827" width="4.42578125" customWidth="1"/>
    <col min="2833" max="2833" width="10.28515625" customWidth="1"/>
    <col min="2835" max="2835" width="42.7109375" customWidth="1"/>
    <col min="3073" max="3073" width="3.42578125" customWidth="1"/>
    <col min="3079" max="3079" width="10" customWidth="1"/>
    <col min="3081" max="3081" width="58" customWidth="1"/>
    <col min="3082" max="3082" width="0.42578125" customWidth="1"/>
    <col min="3083" max="3083" width="4.42578125" customWidth="1"/>
    <col min="3089" max="3089" width="10.28515625" customWidth="1"/>
    <col min="3091" max="3091" width="42.7109375" customWidth="1"/>
    <col min="3329" max="3329" width="3.42578125" customWidth="1"/>
    <col min="3335" max="3335" width="10" customWidth="1"/>
    <col min="3337" max="3337" width="58" customWidth="1"/>
    <col min="3338" max="3338" width="0.42578125" customWidth="1"/>
    <col min="3339" max="3339" width="4.42578125" customWidth="1"/>
    <col min="3345" max="3345" width="10.28515625" customWidth="1"/>
    <col min="3347" max="3347" width="42.7109375" customWidth="1"/>
    <col min="3585" max="3585" width="3.42578125" customWidth="1"/>
    <col min="3591" max="3591" width="10" customWidth="1"/>
    <col min="3593" max="3593" width="58" customWidth="1"/>
    <col min="3594" max="3594" width="0.42578125" customWidth="1"/>
    <col min="3595" max="3595" width="4.42578125" customWidth="1"/>
    <col min="3601" max="3601" width="10.28515625" customWidth="1"/>
    <col min="3603" max="3603" width="42.7109375" customWidth="1"/>
    <col min="3841" max="3841" width="3.42578125" customWidth="1"/>
    <col min="3847" max="3847" width="10" customWidth="1"/>
    <col min="3849" max="3849" width="58" customWidth="1"/>
    <col min="3850" max="3850" width="0.42578125" customWidth="1"/>
    <col min="3851" max="3851" width="4.42578125" customWidth="1"/>
    <col min="3857" max="3857" width="10.28515625" customWidth="1"/>
    <col min="3859" max="3859" width="42.7109375" customWidth="1"/>
    <col min="4097" max="4097" width="3.42578125" customWidth="1"/>
    <col min="4103" max="4103" width="10" customWidth="1"/>
    <col min="4105" max="4105" width="58" customWidth="1"/>
    <col min="4106" max="4106" width="0.42578125" customWidth="1"/>
    <col min="4107" max="4107" width="4.42578125" customWidth="1"/>
    <col min="4113" max="4113" width="10.28515625" customWidth="1"/>
    <col min="4115" max="4115" width="42.7109375" customWidth="1"/>
    <col min="4353" max="4353" width="3.42578125" customWidth="1"/>
    <col min="4359" max="4359" width="10" customWidth="1"/>
    <col min="4361" max="4361" width="58" customWidth="1"/>
    <col min="4362" max="4362" width="0.42578125" customWidth="1"/>
    <col min="4363" max="4363" width="4.42578125" customWidth="1"/>
    <col min="4369" max="4369" width="10.28515625" customWidth="1"/>
    <col min="4371" max="4371" width="42.7109375" customWidth="1"/>
    <col min="4609" max="4609" width="3.42578125" customWidth="1"/>
    <col min="4615" max="4615" width="10" customWidth="1"/>
    <col min="4617" max="4617" width="58" customWidth="1"/>
    <col min="4618" max="4618" width="0.42578125" customWidth="1"/>
    <col min="4619" max="4619" width="4.42578125" customWidth="1"/>
    <col min="4625" max="4625" width="10.28515625" customWidth="1"/>
    <col min="4627" max="4627" width="42.7109375" customWidth="1"/>
    <col min="4865" max="4865" width="3.42578125" customWidth="1"/>
    <col min="4871" max="4871" width="10" customWidth="1"/>
    <col min="4873" max="4873" width="58" customWidth="1"/>
    <col min="4874" max="4874" width="0.42578125" customWidth="1"/>
    <col min="4875" max="4875" width="4.42578125" customWidth="1"/>
    <col min="4881" max="4881" width="10.28515625" customWidth="1"/>
    <col min="4883" max="4883" width="42.7109375" customWidth="1"/>
    <col min="5121" max="5121" width="3.42578125" customWidth="1"/>
    <col min="5127" max="5127" width="10" customWidth="1"/>
    <col min="5129" max="5129" width="58" customWidth="1"/>
    <col min="5130" max="5130" width="0.42578125" customWidth="1"/>
    <col min="5131" max="5131" width="4.42578125" customWidth="1"/>
    <col min="5137" max="5137" width="10.28515625" customWidth="1"/>
    <col min="5139" max="5139" width="42.7109375" customWidth="1"/>
    <col min="5377" max="5377" width="3.42578125" customWidth="1"/>
    <col min="5383" max="5383" width="10" customWidth="1"/>
    <col min="5385" max="5385" width="58" customWidth="1"/>
    <col min="5386" max="5386" width="0.42578125" customWidth="1"/>
    <col min="5387" max="5387" width="4.42578125" customWidth="1"/>
    <col min="5393" max="5393" width="10.28515625" customWidth="1"/>
    <col min="5395" max="5395" width="42.7109375" customWidth="1"/>
    <col min="5633" max="5633" width="3.42578125" customWidth="1"/>
    <col min="5639" max="5639" width="10" customWidth="1"/>
    <col min="5641" max="5641" width="58" customWidth="1"/>
    <col min="5642" max="5642" width="0.42578125" customWidth="1"/>
    <col min="5643" max="5643" width="4.42578125" customWidth="1"/>
    <col min="5649" max="5649" width="10.28515625" customWidth="1"/>
    <col min="5651" max="5651" width="42.7109375" customWidth="1"/>
    <col min="5889" max="5889" width="3.42578125" customWidth="1"/>
    <col min="5895" max="5895" width="10" customWidth="1"/>
    <col min="5897" max="5897" width="58" customWidth="1"/>
    <col min="5898" max="5898" width="0.42578125" customWidth="1"/>
    <col min="5899" max="5899" width="4.42578125" customWidth="1"/>
    <col min="5905" max="5905" width="10.28515625" customWidth="1"/>
    <col min="5907" max="5907" width="42.7109375" customWidth="1"/>
    <col min="6145" max="6145" width="3.42578125" customWidth="1"/>
    <col min="6151" max="6151" width="10" customWidth="1"/>
    <col min="6153" max="6153" width="58" customWidth="1"/>
    <col min="6154" max="6154" width="0.42578125" customWidth="1"/>
    <col min="6155" max="6155" width="4.42578125" customWidth="1"/>
    <col min="6161" max="6161" width="10.28515625" customWidth="1"/>
    <col min="6163" max="6163" width="42.7109375" customWidth="1"/>
    <col min="6401" max="6401" width="3.42578125" customWidth="1"/>
    <col min="6407" max="6407" width="10" customWidth="1"/>
    <col min="6409" max="6409" width="58" customWidth="1"/>
    <col min="6410" max="6410" width="0.42578125" customWidth="1"/>
    <col min="6411" max="6411" width="4.42578125" customWidth="1"/>
    <col min="6417" max="6417" width="10.28515625" customWidth="1"/>
    <col min="6419" max="6419" width="42.7109375" customWidth="1"/>
    <col min="6657" max="6657" width="3.42578125" customWidth="1"/>
    <col min="6663" max="6663" width="10" customWidth="1"/>
    <col min="6665" max="6665" width="58" customWidth="1"/>
    <col min="6666" max="6666" width="0.42578125" customWidth="1"/>
    <col min="6667" max="6667" width="4.42578125" customWidth="1"/>
    <col min="6673" max="6673" width="10.28515625" customWidth="1"/>
    <col min="6675" max="6675" width="42.7109375" customWidth="1"/>
    <col min="6913" max="6913" width="3.42578125" customWidth="1"/>
    <col min="6919" max="6919" width="10" customWidth="1"/>
    <col min="6921" max="6921" width="58" customWidth="1"/>
    <col min="6922" max="6922" width="0.42578125" customWidth="1"/>
    <col min="6923" max="6923" width="4.42578125" customWidth="1"/>
    <col min="6929" max="6929" width="10.28515625" customWidth="1"/>
    <col min="6931" max="6931" width="42.7109375" customWidth="1"/>
    <col min="7169" max="7169" width="3.42578125" customWidth="1"/>
    <col min="7175" max="7175" width="10" customWidth="1"/>
    <col min="7177" max="7177" width="58" customWidth="1"/>
    <col min="7178" max="7178" width="0.42578125" customWidth="1"/>
    <col min="7179" max="7179" width="4.42578125" customWidth="1"/>
    <col min="7185" max="7185" width="10.28515625" customWidth="1"/>
    <col min="7187" max="7187" width="42.7109375" customWidth="1"/>
    <col min="7425" max="7425" width="3.42578125" customWidth="1"/>
    <col min="7431" max="7431" width="10" customWidth="1"/>
    <col min="7433" max="7433" width="58" customWidth="1"/>
    <col min="7434" max="7434" width="0.42578125" customWidth="1"/>
    <col min="7435" max="7435" width="4.42578125" customWidth="1"/>
    <col min="7441" max="7441" width="10.28515625" customWidth="1"/>
    <col min="7443" max="7443" width="42.7109375" customWidth="1"/>
    <col min="7681" max="7681" width="3.42578125" customWidth="1"/>
    <col min="7687" max="7687" width="10" customWidth="1"/>
    <col min="7689" max="7689" width="58" customWidth="1"/>
    <col min="7690" max="7690" width="0.42578125" customWidth="1"/>
    <col min="7691" max="7691" width="4.42578125" customWidth="1"/>
    <col min="7697" max="7697" width="10.28515625" customWidth="1"/>
    <col min="7699" max="7699" width="42.7109375" customWidth="1"/>
    <col min="7937" max="7937" width="3.42578125" customWidth="1"/>
    <col min="7943" max="7943" width="10" customWidth="1"/>
    <col min="7945" max="7945" width="58" customWidth="1"/>
    <col min="7946" max="7946" width="0.42578125" customWidth="1"/>
    <col min="7947" max="7947" width="4.42578125" customWidth="1"/>
    <col min="7953" max="7953" width="10.28515625" customWidth="1"/>
    <col min="7955" max="7955" width="42.7109375" customWidth="1"/>
    <col min="8193" max="8193" width="3.42578125" customWidth="1"/>
    <col min="8199" max="8199" width="10" customWidth="1"/>
    <col min="8201" max="8201" width="58" customWidth="1"/>
    <col min="8202" max="8202" width="0.42578125" customWidth="1"/>
    <col min="8203" max="8203" width="4.42578125" customWidth="1"/>
    <col min="8209" max="8209" width="10.28515625" customWidth="1"/>
    <col min="8211" max="8211" width="42.7109375" customWidth="1"/>
    <col min="8449" max="8449" width="3.42578125" customWidth="1"/>
    <col min="8455" max="8455" width="10" customWidth="1"/>
    <col min="8457" max="8457" width="58" customWidth="1"/>
    <col min="8458" max="8458" width="0.42578125" customWidth="1"/>
    <col min="8459" max="8459" width="4.42578125" customWidth="1"/>
    <col min="8465" max="8465" width="10.28515625" customWidth="1"/>
    <col min="8467" max="8467" width="42.7109375" customWidth="1"/>
    <col min="8705" max="8705" width="3.42578125" customWidth="1"/>
    <col min="8711" max="8711" width="10" customWidth="1"/>
    <col min="8713" max="8713" width="58" customWidth="1"/>
    <col min="8714" max="8714" width="0.42578125" customWidth="1"/>
    <col min="8715" max="8715" width="4.42578125" customWidth="1"/>
    <col min="8721" max="8721" width="10.28515625" customWidth="1"/>
    <col min="8723" max="8723" width="42.7109375" customWidth="1"/>
    <col min="8961" max="8961" width="3.42578125" customWidth="1"/>
    <col min="8967" max="8967" width="10" customWidth="1"/>
    <col min="8969" max="8969" width="58" customWidth="1"/>
    <col min="8970" max="8970" width="0.42578125" customWidth="1"/>
    <col min="8971" max="8971" width="4.42578125" customWidth="1"/>
    <col min="8977" max="8977" width="10.28515625" customWidth="1"/>
    <col min="8979" max="8979" width="42.7109375" customWidth="1"/>
    <col min="9217" max="9217" width="3.42578125" customWidth="1"/>
    <col min="9223" max="9223" width="10" customWidth="1"/>
    <col min="9225" max="9225" width="58" customWidth="1"/>
    <col min="9226" max="9226" width="0.42578125" customWidth="1"/>
    <col min="9227" max="9227" width="4.42578125" customWidth="1"/>
    <col min="9233" max="9233" width="10.28515625" customWidth="1"/>
    <col min="9235" max="9235" width="42.7109375" customWidth="1"/>
    <col min="9473" max="9473" width="3.42578125" customWidth="1"/>
    <col min="9479" max="9479" width="10" customWidth="1"/>
    <col min="9481" max="9481" width="58" customWidth="1"/>
    <col min="9482" max="9482" width="0.42578125" customWidth="1"/>
    <col min="9483" max="9483" width="4.42578125" customWidth="1"/>
    <col min="9489" max="9489" width="10.28515625" customWidth="1"/>
    <col min="9491" max="9491" width="42.7109375" customWidth="1"/>
    <col min="9729" max="9729" width="3.42578125" customWidth="1"/>
    <col min="9735" max="9735" width="10" customWidth="1"/>
    <col min="9737" max="9737" width="58" customWidth="1"/>
    <col min="9738" max="9738" width="0.42578125" customWidth="1"/>
    <col min="9739" max="9739" width="4.42578125" customWidth="1"/>
    <col min="9745" max="9745" width="10.28515625" customWidth="1"/>
    <col min="9747" max="9747" width="42.7109375" customWidth="1"/>
    <col min="9985" max="9985" width="3.42578125" customWidth="1"/>
    <col min="9991" max="9991" width="10" customWidth="1"/>
    <col min="9993" max="9993" width="58" customWidth="1"/>
    <col min="9994" max="9994" width="0.42578125" customWidth="1"/>
    <col min="9995" max="9995" width="4.42578125" customWidth="1"/>
    <col min="10001" max="10001" width="10.28515625" customWidth="1"/>
    <col min="10003" max="10003" width="42.7109375" customWidth="1"/>
    <col min="10241" max="10241" width="3.42578125" customWidth="1"/>
    <col min="10247" max="10247" width="10" customWidth="1"/>
    <col min="10249" max="10249" width="58" customWidth="1"/>
    <col min="10250" max="10250" width="0.42578125" customWidth="1"/>
    <col min="10251" max="10251" width="4.42578125" customWidth="1"/>
    <col min="10257" max="10257" width="10.28515625" customWidth="1"/>
    <col min="10259" max="10259" width="42.7109375" customWidth="1"/>
    <col min="10497" max="10497" width="3.42578125" customWidth="1"/>
    <col min="10503" max="10503" width="10" customWidth="1"/>
    <col min="10505" max="10505" width="58" customWidth="1"/>
    <col min="10506" max="10506" width="0.42578125" customWidth="1"/>
    <col min="10507" max="10507" width="4.42578125" customWidth="1"/>
    <col min="10513" max="10513" width="10.28515625" customWidth="1"/>
    <col min="10515" max="10515" width="42.7109375" customWidth="1"/>
    <col min="10753" max="10753" width="3.42578125" customWidth="1"/>
    <col min="10759" max="10759" width="10" customWidth="1"/>
    <col min="10761" max="10761" width="58" customWidth="1"/>
    <col min="10762" max="10762" width="0.42578125" customWidth="1"/>
    <col min="10763" max="10763" width="4.42578125" customWidth="1"/>
    <col min="10769" max="10769" width="10.28515625" customWidth="1"/>
    <col min="10771" max="10771" width="42.7109375" customWidth="1"/>
    <col min="11009" max="11009" width="3.42578125" customWidth="1"/>
    <col min="11015" max="11015" width="10" customWidth="1"/>
    <col min="11017" max="11017" width="58" customWidth="1"/>
    <col min="11018" max="11018" width="0.42578125" customWidth="1"/>
    <col min="11019" max="11019" width="4.42578125" customWidth="1"/>
    <col min="11025" max="11025" width="10.28515625" customWidth="1"/>
    <col min="11027" max="11027" width="42.7109375" customWidth="1"/>
    <col min="11265" max="11265" width="3.42578125" customWidth="1"/>
    <col min="11271" max="11271" width="10" customWidth="1"/>
    <col min="11273" max="11273" width="58" customWidth="1"/>
    <col min="11274" max="11274" width="0.42578125" customWidth="1"/>
    <col min="11275" max="11275" width="4.42578125" customWidth="1"/>
    <col min="11281" max="11281" width="10.28515625" customWidth="1"/>
    <col min="11283" max="11283" width="42.7109375" customWidth="1"/>
    <col min="11521" max="11521" width="3.42578125" customWidth="1"/>
    <col min="11527" max="11527" width="10" customWidth="1"/>
    <col min="11529" max="11529" width="58" customWidth="1"/>
    <col min="11530" max="11530" width="0.42578125" customWidth="1"/>
    <col min="11531" max="11531" width="4.42578125" customWidth="1"/>
    <col min="11537" max="11537" width="10.28515625" customWidth="1"/>
    <col min="11539" max="11539" width="42.7109375" customWidth="1"/>
    <col min="11777" max="11777" width="3.42578125" customWidth="1"/>
    <col min="11783" max="11783" width="10" customWidth="1"/>
    <col min="11785" max="11785" width="58" customWidth="1"/>
    <col min="11786" max="11786" width="0.42578125" customWidth="1"/>
    <col min="11787" max="11787" width="4.42578125" customWidth="1"/>
    <col min="11793" max="11793" width="10.28515625" customWidth="1"/>
    <col min="11795" max="11795" width="42.7109375" customWidth="1"/>
    <col min="12033" max="12033" width="3.42578125" customWidth="1"/>
    <col min="12039" max="12039" width="10" customWidth="1"/>
    <col min="12041" max="12041" width="58" customWidth="1"/>
    <col min="12042" max="12042" width="0.42578125" customWidth="1"/>
    <col min="12043" max="12043" width="4.42578125" customWidth="1"/>
    <col min="12049" max="12049" width="10.28515625" customWidth="1"/>
    <col min="12051" max="12051" width="42.7109375" customWidth="1"/>
    <col min="12289" max="12289" width="3.42578125" customWidth="1"/>
    <col min="12295" max="12295" width="10" customWidth="1"/>
    <col min="12297" max="12297" width="58" customWidth="1"/>
    <col min="12298" max="12298" width="0.42578125" customWidth="1"/>
    <col min="12299" max="12299" width="4.42578125" customWidth="1"/>
    <col min="12305" max="12305" width="10.28515625" customWidth="1"/>
    <col min="12307" max="12307" width="42.7109375" customWidth="1"/>
    <col min="12545" max="12545" width="3.42578125" customWidth="1"/>
    <col min="12551" max="12551" width="10" customWidth="1"/>
    <col min="12553" max="12553" width="58" customWidth="1"/>
    <col min="12554" max="12554" width="0.42578125" customWidth="1"/>
    <col min="12555" max="12555" width="4.42578125" customWidth="1"/>
    <col min="12561" max="12561" width="10.28515625" customWidth="1"/>
    <col min="12563" max="12563" width="42.7109375" customWidth="1"/>
    <col min="12801" max="12801" width="3.42578125" customWidth="1"/>
    <col min="12807" max="12807" width="10" customWidth="1"/>
    <col min="12809" max="12809" width="58" customWidth="1"/>
    <col min="12810" max="12810" width="0.42578125" customWidth="1"/>
    <col min="12811" max="12811" width="4.42578125" customWidth="1"/>
    <col min="12817" max="12817" width="10.28515625" customWidth="1"/>
    <col min="12819" max="12819" width="42.7109375" customWidth="1"/>
    <col min="13057" max="13057" width="3.42578125" customWidth="1"/>
    <col min="13063" max="13063" width="10" customWidth="1"/>
    <col min="13065" max="13065" width="58" customWidth="1"/>
    <col min="13066" max="13066" width="0.42578125" customWidth="1"/>
    <col min="13067" max="13067" width="4.42578125" customWidth="1"/>
    <col min="13073" max="13073" width="10.28515625" customWidth="1"/>
    <col min="13075" max="13075" width="42.7109375" customWidth="1"/>
    <col min="13313" max="13313" width="3.42578125" customWidth="1"/>
    <col min="13319" max="13319" width="10" customWidth="1"/>
    <col min="13321" max="13321" width="58" customWidth="1"/>
    <col min="13322" max="13322" width="0.42578125" customWidth="1"/>
    <col min="13323" max="13323" width="4.42578125" customWidth="1"/>
    <col min="13329" max="13329" width="10.28515625" customWidth="1"/>
    <col min="13331" max="13331" width="42.7109375" customWidth="1"/>
    <col min="13569" max="13569" width="3.42578125" customWidth="1"/>
    <col min="13575" max="13575" width="10" customWidth="1"/>
    <col min="13577" max="13577" width="58" customWidth="1"/>
    <col min="13578" max="13578" width="0.42578125" customWidth="1"/>
    <col min="13579" max="13579" width="4.42578125" customWidth="1"/>
    <col min="13585" max="13585" width="10.28515625" customWidth="1"/>
    <col min="13587" max="13587" width="42.7109375" customWidth="1"/>
    <col min="13825" max="13825" width="3.42578125" customWidth="1"/>
    <col min="13831" max="13831" width="10" customWidth="1"/>
    <col min="13833" max="13833" width="58" customWidth="1"/>
    <col min="13834" max="13834" width="0.42578125" customWidth="1"/>
    <col min="13835" max="13835" width="4.42578125" customWidth="1"/>
    <col min="13841" max="13841" width="10.28515625" customWidth="1"/>
    <col min="13843" max="13843" width="42.7109375" customWidth="1"/>
    <col min="14081" max="14081" width="3.42578125" customWidth="1"/>
    <col min="14087" max="14087" width="10" customWidth="1"/>
    <col min="14089" max="14089" width="58" customWidth="1"/>
    <col min="14090" max="14090" width="0.42578125" customWidth="1"/>
    <col min="14091" max="14091" width="4.42578125" customWidth="1"/>
    <col min="14097" max="14097" width="10.28515625" customWidth="1"/>
    <col min="14099" max="14099" width="42.7109375" customWidth="1"/>
    <col min="14337" max="14337" width="3.42578125" customWidth="1"/>
    <col min="14343" max="14343" width="10" customWidth="1"/>
    <col min="14345" max="14345" width="58" customWidth="1"/>
    <col min="14346" max="14346" width="0.42578125" customWidth="1"/>
    <col min="14347" max="14347" width="4.42578125" customWidth="1"/>
    <col min="14353" max="14353" width="10.28515625" customWidth="1"/>
    <col min="14355" max="14355" width="42.7109375" customWidth="1"/>
    <col min="14593" max="14593" width="3.42578125" customWidth="1"/>
    <col min="14599" max="14599" width="10" customWidth="1"/>
    <col min="14601" max="14601" width="58" customWidth="1"/>
    <col min="14602" max="14602" width="0.42578125" customWidth="1"/>
    <col min="14603" max="14603" width="4.42578125" customWidth="1"/>
    <col min="14609" max="14609" width="10.28515625" customWidth="1"/>
    <col min="14611" max="14611" width="42.7109375" customWidth="1"/>
    <col min="14849" max="14849" width="3.42578125" customWidth="1"/>
    <col min="14855" max="14855" width="10" customWidth="1"/>
    <col min="14857" max="14857" width="58" customWidth="1"/>
    <col min="14858" max="14858" width="0.42578125" customWidth="1"/>
    <col min="14859" max="14859" width="4.42578125" customWidth="1"/>
    <col min="14865" max="14865" width="10.28515625" customWidth="1"/>
    <col min="14867" max="14867" width="42.7109375" customWidth="1"/>
    <col min="15105" max="15105" width="3.42578125" customWidth="1"/>
    <col min="15111" max="15111" width="10" customWidth="1"/>
    <col min="15113" max="15113" width="58" customWidth="1"/>
    <col min="15114" max="15114" width="0.42578125" customWidth="1"/>
    <col min="15115" max="15115" width="4.42578125" customWidth="1"/>
    <col min="15121" max="15121" width="10.28515625" customWidth="1"/>
    <col min="15123" max="15123" width="42.7109375" customWidth="1"/>
    <col min="15361" max="15361" width="3.42578125" customWidth="1"/>
    <col min="15367" max="15367" width="10" customWidth="1"/>
    <col min="15369" max="15369" width="58" customWidth="1"/>
    <col min="15370" max="15370" width="0.42578125" customWidth="1"/>
    <col min="15371" max="15371" width="4.42578125" customWidth="1"/>
    <col min="15377" max="15377" width="10.28515625" customWidth="1"/>
    <col min="15379" max="15379" width="42.7109375" customWidth="1"/>
    <col min="15617" max="15617" width="3.42578125" customWidth="1"/>
    <col min="15623" max="15623" width="10" customWidth="1"/>
    <col min="15625" max="15625" width="58" customWidth="1"/>
    <col min="15626" max="15626" width="0.42578125" customWidth="1"/>
    <col min="15627" max="15627" width="4.42578125" customWidth="1"/>
    <col min="15633" max="15633" width="10.28515625" customWidth="1"/>
    <col min="15635" max="15635" width="42.7109375" customWidth="1"/>
    <col min="15873" max="15873" width="3.42578125" customWidth="1"/>
    <col min="15879" max="15879" width="10" customWidth="1"/>
    <col min="15881" max="15881" width="58" customWidth="1"/>
    <col min="15882" max="15882" width="0.42578125" customWidth="1"/>
    <col min="15883" max="15883" width="4.42578125" customWidth="1"/>
    <col min="15889" max="15889" width="10.28515625" customWidth="1"/>
    <col min="15891" max="15891" width="42.7109375" customWidth="1"/>
    <col min="16129" max="16129" width="3.42578125" customWidth="1"/>
    <col min="16135" max="16135" width="10" customWidth="1"/>
    <col min="16137" max="16137" width="58" customWidth="1"/>
    <col min="16138" max="16138" width="0.42578125" customWidth="1"/>
    <col min="16139" max="16139" width="4.42578125" customWidth="1"/>
    <col min="16145" max="16145" width="10.28515625" customWidth="1"/>
    <col min="16147" max="16147" width="42.7109375" customWidth="1"/>
  </cols>
  <sheetData>
    <row r="1" spans="1:19" x14ac:dyDescent="0.25">
      <c r="A1" s="3"/>
      <c r="B1" s="3"/>
      <c r="C1" s="3"/>
      <c r="D1" s="3"/>
      <c r="E1" s="4" t="s">
        <v>204</v>
      </c>
      <c r="F1" s="3"/>
      <c r="G1" s="3"/>
      <c r="H1" s="3"/>
      <c r="I1" s="3"/>
      <c r="K1" s="3"/>
      <c r="L1" s="3"/>
      <c r="M1" s="3"/>
      <c r="N1" s="3"/>
      <c r="O1" s="4" t="s">
        <v>204</v>
      </c>
      <c r="P1" s="3"/>
      <c r="Q1" s="3"/>
      <c r="R1" s="3"/>
      <c r="S1" s="3"/>
    </row>
    <row r="2" spans="1:19" x14ac:dyDescent="0.25">
      <c r="A2" s="3" t="s">
        <v>205</v>
      </c>
      <c r="B2" s="3"/>
      <c r="C2" s="3"/>
      <c r="D2" s="3" t="s">
        <v>334</v>
      </c>
      <c r="E2" s="3"/>
      <c r="F2" s="3"/>
      <c r="G2" s="3"/>
      <c r="H2" s="3"/>
      <c r="I2" s="3"/>
      <c r="K2" s="3" t="s">
        <v>205</v>
      </c>
      <c r="L2" s="3"/>
      <c r="M2" s="3"/>
      <c r="N2" s="3" t="s">
        <v>335</v>
      </c>
      <c r="O2" s="3"/>
      <c r="P2" s="3"/>
      <c r="Q2" s="3"/>
      <c r="R2" s="3"/>
      <c r="S2" s="3"/>
    </row>
    <row r="3" spans="1:19" ht="15" customHeight="1" x14ac:dyDescent="0.25">
      <c r="A3" s="3"/>
      <c r="B3" s="5" t="s">
        <v>440</v>
      </c>
      <c r="C3" s="3"/>
      <c r="D3" s="3"/>
      <c r="E3" s="3"/>
      <c r="F3" s="3"/>
      <c r="G3" s="3"/>
      <c r="H3" s="3"/>
      <c r="I3" s="3"/>
      <c r="J3" s="3"/>
      <c r="K3" s="3"/>
      <c r="L3" s="5" t="s">
        <v>440</v>
      </c>
      <c r="M3" s="3"/>
      <c r="N3" s="3"/>
      <c r="O3" s="3"/>
      <c r="P3" s="3"/>
      <c r="Q3" s="3"/>
      <c r="R3" s="3"/>
      <c r="S3" s="3"/>
    </row>
    <row r="4" spans="1:19" ht="15.75" thickBot="1" x14ac:dyDescent="0.3">
      <c r="A4" s="3"/>
      <c r="B4" s="5" t="s">
        <v>206</v>
      </c>
      <c r="C4" s="3"/>
      <c r="D4" s="3"/>
      <c r="E4" s="3"/>
      <c r="F4" s="3">
        <f>'[1]Ж-2'!$D$9</f>
        <v>4629.3999999999996</v>
      </c>
      <c r="G4" s="3" t="s">
        <v>207</v>
      </c>
      <c r="H4" s="3"/>
      <c r="I4" s="3"/>
      <c r="J4" s="3"/>
      <c r="K4" s="3"/>
      <c r="L4" s="5" t="s">
        <v>206</v>
      </c>
      <c r="M4" s="3"/>
      <c r="N4" s="3"/>
      <c r="O4" s="3"/>
      <c r="P4" s="3">
        <f>'[1]Ж-2'!$E$9</f>
        <v>6225.2</v>
      </c>
      <c r="Q4" s="3" t="s">
        <v>207</v>
      </c>
      <c r="R4" s="3"/>
      <c r="S4" s="3"/>
    </row>
    <row r="5" spans="1:19" ht="15" customHeight="1" x14ac:dyDescent="0.25">
      <c r="A5" s="175" t="s">
        <v>209</v>
      </c>
      <c r="B5" s="177" t="s">
        <v>210</v>
      </c>
      <c r="C5" s="178"/>
      <c r="D5" s="178"/>
      <c r="E5" s="178"/>
      <c r="F5" s="178"/>
      <c r="G5" s="180" t="s">
        <v>442</v>
      </c>
      <c r="H5" s="181"/>
      <c r="I5" s="175" t="s">
        <v>212</v>
      </c>
      <c r="J5" s="31"/>
      <c r="K5" s="175" t="s">
        <v>209</v>
      </c>
      <c r="L5" s="177" t="s">
        <v>210</v>
      </c>
      <c r="M5" s="178"/>
      <c r="N5" s="178"/>
      <c r="O5" s="178"/>
      <c r="P5" s="178"/>
      <c r="Q5" s="180" t="s">
        <v>442</v>
      </c>
      <c r="R5" s="181"/>
      <c r="S5" s="175" t="s">
        <v>212</v>
      </c>
    </row>
    <row r="6" spans="1:19" ht="69" customHeight="1" thickBot="1" x14ac:dyDescent="0.3">
      <c r="A6" s="176"/>
      <c r="B6" s="179"/>
      <c r="C6" s="179"/>
      <c r="D6" s="179"/>
      <c r="E6" s="179"/>
      <c r="F6" s="179"/>
      <c r="G6" s="182"/>
      <c r="H6" s="183"/>
      <c r="I6" s="184"/>
      <c r="J6" s="32"/>
      <c r="K6" s="176"/>
      <c r="L6" s="179"/>
      <c r="M6" s="179"/>
      <c r="N6" s="179"/>
      <c r="O6" s="179"/>
      <c r="P6" s="179"/>
      <c r="Q6" s="182"/>
      <c r="R6" s="183"/>
      <c r="S6" s="184"/>
    </row>
    <row r="7" spans="1:19" ht="15" customHeight="1" x14ac:dyDescent="0.25">
      <c r="A7" s="185" t="s">
        <v>213</v>
      </c>
      <c r="B7" s="187" t="s">
        <v>354</v>
      </c>
      <c r="C7" s="188"/>
      <c r="D7" s="188"/>
      <c r="E7" s="188"/>
      <c r="F7" s="188"/>
      <c r="G7" s="190">
        <v>68557.88</v>
      </c>
      <c r="H7" s="191"/>
      <c r="I7" s="192"/>
      <c r="J7" s="33"/>
      <c r="K7" s="185" t="s">
        <v>213</v>
      </c>
      <c r="L7" s="187" t="s">
        <v>354</v>
      </c>
      <c r="M7" s="188"/>
      <c r="N7" s="188"/>
      <c r="O7" s="188"/>
      <c r="P7" s="188"/>
      <c r="Q7" s="190">
        <v>136998.51</v>
      </c>
      <c r="R7" s="191"/>
      <c r="S7" s="192"/>
    </row>
    <row r="8" spans="1:19" ht="3.75" customHeight="1" thickBot="1" x14ac:dyDescent="0.3">
      <c r="A8" s="186"/>
      <c r="B8" s="189"/>
      <c r="C8" s="189"/>
      <c r="D8" s="189"/>
      <c r="E8" s="189"/>
      <c r="F8" s="189"/>
      <c r="G8" s="193"/>
      <c r="H8" s="194"/>
      <c r="I8" s="128"/>
      <c r="J8" s="34"/>
      <c r="K8" s="186"/>
      <c r="L8" s="189"/>
      <c r="M8" s="189"/>
      <c r="N8" s="189"/>
      <c r="O8" s="189"/>
      <c r="P8" s="189"/>
      <c r="Q8" s="193"/>
      <c r="R8" s="194"/>
      <c r="S8" s="128"/>
    </row>
    <row r="9" spans="1:19" ht="17.25" customHeight="1" x14ac:dyDescent="0.25">
      <c r="A9" s="6"/>
      <c r="B9" s="161" t="s">
        <v>214</v>
      </c>
      <c r="C9" s="162"/>
      <c r="D9" s="162"/>
      <c r="E9" s="162"/>
      <c r="F9" s="162"/>
      <c r="G9" s="163">
        <f>1.74*12*F4</f>
        <v>96661.871999999988</v>
      </c>
      <c r="H9" s="164"/>
      <c r="I9" s="169" t="s">
        <v>215</v>
      </c>
      <c r="J9" s="35"/>
      <c r="K9" s="6"/>
      <c r="L9" s="161" t="s">
        <v>214</v>
      </c>
      <c r="M9" s="162"/>
      <c r="N9" s="162"/>
      <c r="O9" s="162"/>
      <c r="P9" s="162"/>
      <c r="Q9" s="163">
        <f>1.74*12*P4</f>
        <v>129982.17599999999</v>
      </c>
      <c r="R9" s="164"/>
      <c r="S9" s="169" t="s">
        <v>215</v>
      </c>
    </row>
    <row r="10" spans="1:19" ht="34.5" customHeight="1" thickBot="1" x14ac:dyDescent="0.3">
      <c r="A10" s="7"/>
      <c r="B10" s="171" t="s">
        <v>216</v>
      </c>
      <c r="C10" s="172"/>
      <c r="D10" s="172"/>
      <c r="E10" s="172"/>
      <c r="F10" s="172"/>
      <c r="G10" s="165"/>
      <c r="H10" s="166"/>
      <c r="I10" s="170"/>
      <c r="J10" s="36"/>
      <c r="K10" s="7"/>
      <c r="L10" s="171" t="s">
        <v>216</v>
      </c>
      <c r="M10" s="172"/>
      <c r="N10" s="172"/>
      <c r="O10" s="172"/>
      <c r="P10" s="172"/>
      <c r="Q10" s="165"/>
      <c r="R10" s="166"/>
      <c r="S10" s="170"/>
    </row>
    <row r="11" spans="1:19" ht="13.5" customHeight="1" thickBot="1" x14ac:dyDescent="0.3">
      <c r="A11" s="7"/>
      <c r="B11" s="173" t="s">
        <v>217</v>
      </c>
      <c r="C11" s="174"/>
      <c r="D11" s="174"/>
      <c r="E11" s="174"/>
      <c r="F11" s="174"/>
      <c r="G11" s="167"/>
      <c r="H11" s="168"/>
      <c r="I11" s="8" t="s">
        <v>218</v>
      </c>
      <c r="J11" s="36"/>
      <c r="K11" s="7"/>
      <c r="L11" s="173" t="s">
        <v>217</v>
      </c>
      <c r="M11" s="174"/>
      <c r="N11" s="174"/>
      <c r="O11" s="174"/>
      <c r="P11" s="174"/>
      <c r="Q11" s="167"/>
      <c r="R11" s="168"/>
      <c r="S11" s="8" t="s">
        <v>218</v>
      </c>
    </row>
    <row r="12" spans="1:19" ht="13.5" customHeight="1" thickBot="1" x14ac:dyDescent="0.3">
      <c r="A12" s="7"/>
      <c r="B12" s="141" t="s">
        <v>219</v>
      </c>
      <c r="C12" s="142"/>
      <c r="D12" s="142"/>
      <c r="E12" s="142"/>
      <c r="F12" s="142"/>
      <c r="G12" s="143">
        <v>0</v>
      </c>
      <c r="H12" s="144"/>
      <c r="I12" s="8" t="s">
        <v>220</v>
      </c>
      <c r="J12" s="37"/>
      <c r="K12" s="7"/>
      <c r="L12" s="141" t="s">
        <v>219</v>
      </c>
      <c r="M12" s="142"/>
      <c r="N12" s="142"/>
      <c r="O12" s="142"/>
      <c r="P12" s="142"/>
      <c r="Q12" s="143">
        <v>0</v>
      </c>
      <c r="R12" s="144"/>
      <c r="S12" s="8" t="s">
        <v>220</v>
      </c>
    </row>
    <row r="13" spans="1:19" ht="13.5" customHeight="1" thickBot="1" x14ac:dyDescent="0.3">
      <c r="A13" s="7"/>
      <c r="B13" s="141" t="s">
        <v>221</v>
      </c>
      <c r="C13" s="142"/>
      <c r="D13" s="142"/>
      <c r="E13" s="142"/>
      <c r="F13" s="142"/>
      <c r="G13" s="143">
        <f>0.4*12*F4</f>
        <v>22221.120000000003</v>
      </c>
      <c r="H13" s="144"/>
      <c r="I13" s="8" t="s">
        <v>222</v>
      </c>
      <c r="J13" s="38"/>
      <c r="K13" s="7"/>
      <c r="L13" s="141" t="s">
        <v>221</v>
      </c>
      <c r="M13" s="142"/>
      <c r="N13" s="142"/>
      <c r="O13" s="142"/>
      <c r="P13" s="142"/>
      <c r="Q13" s="143">
        <f>0.4*12*P4</f>
        <v>29880.960000000003</v>
      </c>
      <c r="R13" s="144"/>
      <c r="S13" s="8" t="s">
        <v>222</v>
      </c>
    </row>
    <row r="14" spans="1:19" ht="13.5" customHeight="1" x14ac:dyDescent="0.25">
      <c r="A14" s="9"/>
      <c r="B14" s="145" t="s">
        <v>223</v>
      </c>
      <c r="C14" s="146"/>
      <c r="D14" s="146"/>
      <c r="E14" s="146"/>
      <c r="F14" s="146"/>
      <c r="G14" s="86">
        <f>1.999*12*F4</f>
        <v>111050.04719999999</v>
      </c>
      <c r="H14" s="147"/>
      <c r="I14" s="152" t="s">
        <v>224</v>
      </c>
      <c r="J14" s="38"/>
      <c r="K14" s="9"/>
      <c r="L14" s="145" t="s">
        <v>223</v>
      </c>
      <c r="M14" s="146"/>
      <c r="N14" s="146"/>
      <c r="O14" s="146"/>
      <c r="P14" s="146"/>
      <c r="Q14" s="86">
        <f>1.99*12*P4</f>
        <v>148657.77599999998</v>
      </c>
      <c r="R14" s="147"/>
      <c r="S14" s="152" t="s">
        <v>224</v>
      </c>
    </row>
    <row r="15" spans="1:19" ht="13.5" customHeight="1" x14ac:dyDescent="0.25">
      <c r="A15" s="10"/>
      <c r="B15" s="155" t="s">
        <v>226</v>
      </c>
      <c r="C15" s="156"/>
      <c r="D15" s="156"/>
      <c r="E15" s="156"/>
      <c r="F15" s="156"/>
      <c r="G15" s="148"/>
      <c r="H15" s="149"/>
      <c r="I15" s="153"/>
      <c r="J15" s="39"/>
      <c r="K15" s="10"/>
      <c r="L15" s="155" t="s">
        <v>226</v>
      </c>
      <c r="M15" s="156"/>
      <c r="N15" s="156"/>
      <c r="O15" s="156"/>
      <c r="P15" s="156"/>
      <c r="Q15" s="148"/>
      <c r="R15" s="149"/>
      <c r="S15" s="153"/>
    </row>
    <row r="16" spans="1:19" ht="13.5" customHeight="1" thickBot="1" x14ac:dyDescent="0.3">
      <c r="A16" s="10"/>
      <c r="B16" s="157" t="s">
        <v>227</v>
      </c>
      <c r="C16" s="158"/>
      <c r="D16" s="158"/>
      <c r="E16" s="158"/>
      <c r="F16" s="158"/>
      <c r="G16" s="148"/>
      <c r="H16" s="149"/>
      <c r="I16" s="154"/>
      <c r="J16" s="36"/>
      <c r="K16" s="10"/>
      <c r="L16" s="157" t="s">
        <v>227</v>
      </c>
      <c r="M16" s="158"/>
      <c r="N16" s="158"/>
      <c r="O16" s="158"/>
      <c r="P16" s="158"/>
      <c r="Q16" s="148"/>
      <c r="R16" s="149"/>
      <c r="S16" s="154"/>
    </row>
    <row r="17" spans="1:19" ht="13.5" customHeight="1" thickBot="1" x14ac:dyDescent="0.3">
      <c r="A17" s="10"/>
      <c r="B17" s="159" t="s">
        <v>228</v>
      </c>
      <c r="C17" s="160"/>
      <c r="D17" s="160"/>
      <c r="E17" s="160"/>
      <c r="F17" s="160"/>
      <c r="G17" s="150"/>
      <c r="H17" s="151"/>
      <c r="I17" s="11" t="s">
        <v>229</v>
      </c>
      <c r="J17" s="36"/>
      <c r="K17" s="10"/>
      <c r="L17" s="159" t="s">
        <v>228</v>
      </c>
      <c r="M17" s="160"/>
      <c r="N17" s="160"/>
      <c r="O17" s="160"/>
      <c r="P17" s="160"/>
      <c r="Q17" s="150"/>
      <c r="R17" s="151"/>
      <c r="S17" s="11" t="s">
        <v>229</v>
      </c>
    </row>
    <row r="18" spans="1:19" ht="13.5" customHeight="1" x14ac:dyDescent="0.25">
      <c r="A18" s="12"/>
      <c r="B18" s="125" t="s">
        <v>230</v>
      </c>
      <c r="C18" s="126"/>
      <c r="D18" s="126"/>
      <c r="E18" s="126"/>
      <c r="F18" s="126"/>
      <c r="G18" s="86">
        <f>0.048*12*F4</f>
        <v>2666.5344</v>
      </c>
      <c r="H18" s="87"/>
      <c r="I18" s="129" t="s">
        <v>220</v>
      </c>
      <c r="J18" s="36"/>
      <c r="K18" s="12"/>
      <c r="L18" s="125" t="s">
        <v>230</v>
      </c>
      <c r="M18" s="126"/>
      <c r="N18" s="126"/>
      <c r="O18" s="126"/>
      <c r="P18" s="126"/>
      <c r="Q18" s="86">
        <f>0.048*12*P4</f>
        <v>3585.7152000000001</v>
      </c>
      <c r="R18" s="87"/>
      <c r="S18" s="129" t="s">
        <v>220</v>
      </c>
    </row>
    <row r="19" spans="1:19" ht="15.75" customHeight="1" thickBot="1" x14ac:dyDescent="0.3">
      <c r="A19" s="7"/>
      <c r="B19" s="131" t="s">
        <v>231</v>
      </c>
      <c r="C19" s="132"/>
      <c r="D19" s="132"/>
      <c r="E19" s="132"/>
      <c r="F19" s="132"/>
      <c r="G19" s="127"/>
      <c r="H19" s="128"/>
      <c r="I19" s="130"/>
      <c r="J19" s="36"/>
      <c r="K19" s="7"/>
      <c r="L19" s="131" t="s">
        <v>231</v>
      </c>
      <c r="M19" s="132"/>
      <c r="N19" s="132"/>
      <c r="O19" s="132"/>
      <c r="P19" s="132"/>
      <c r="Q19" s="127"/>
      <c r="R19" s="128"/>
      <c r="S19" s="130"/>
    </row>
    <row r="20" spans="1:19" ht="18.75" customHeight="1" thickBot="1" x14ac:dyDescent="0.3">
      <c r="A20" s="13"/>
      <c r="B20" s="133" t="s">
        <v>232</v>
      </c>
      <c r="C20" s="134"/>
      <c r="D20" s="134"/>
      <c r="E20" s="134"/>
      <c r="F20" s="134"/>
      <c r="G20" s="135"/>
      <c r="H20" s="136"/>
      <c r="I20" s="14"/>
      <c r="J20" s="40"/>
      <c r="K20" s="13"/>
      <c r="L20" s="133" t="s">
        <v>232</v>
      </c>
      <c r="M20" s="134"/>
      <c r="N20" s="134"/>
      <c r="O20" s="134"/>
      <c r="P20" s="134"/>
      <c r="Q20" s="135"/>
      <c r="R20" s="136"/>
      <c r="S20" s="14"/>
    </row>
    <row r="21" spans="1:19" ht="29.25" customHeight="1" thickBot="1" x14ac:dyDescent="0.3">
      <c r="A21" s="13"/>
      <c r="B21" s="84" t="s">
        <v>233</v>
      </c>
      <c r="C21" s="85"/>
      <c r="D21" s="85"/>
      <c r="E21" s="85"/>
      <c r="F21" s="85"/>
      <c r="G21" s="86">
        <f>1.69*12*F4</f>
        <v>93884.232000000004</v>
      </c>
      <c r="H21" s="87"/>
      <c r="I21" s="92" t="s">
        <v>554</v>
      </c>
      <c r="J21" s="41"/>
      <c r="K21" s="13"/>
      <c r="L21" s="84" t="s">
        <v>233</v>
      </c>
      <c r="M21" s="85"/>
      <c r="N21" s="85"/>
      <c r="O21" s="85"/>
      <c r="P21" s="85"/>
      <c r="Q21" s="86">
        <f>1.69*12*P4</f>
        <v>126247.056</v>
      </c>
      <c r="R21" s="87"/>
      <c r="S21" s="92" t="s">
        <v>556</v>
      </c>
    </row>
    <row r="22" spans="1:19" ht="29.25" customHeight="1" x14ac:dyDescent="0.25">
      <c r="A22" s="118"/>
      <c r="B22" s="121" t="s">
        <v>226</v>
      </c>
      <c r="C22" s="122"/>
      <c r="D22" s="122"/>
      <c r="E22" s="122"/>
      <c r="F22" s="122"/>
      <c r="G22" s="88"/>
      <c r="H22" s="89"/>
      <c r="I22" s="93"/>
      <c r="J22" s="41"/>
      <c r="K22" s="118"/>
      <c r="L22" s="121" t="s">
        <v>226</v>
      </c>
      <c r="M22" s="122"/>
      <c r="N22" s="122"/>
      <c r="O22" s="122"/>
      <c r="P22" s="122"/>
      <c r="Q22" s="88"/>
      <c r="R22" s="89"/>
      <c r="S22" s="93"/>
    </row>
    <row r="23" spans="1:19" ht="27" customHeight="1" x14ac:dyDescent="0.25">
      <c r="A23" s="119"/>
      <c r="B23" s="121" t="s">
        <v>227</v>
      </c>
      <c r="C23" s="122"/>
      <c r="D23" s="122"/>
      <c r="E23" s="122"/>
      <c r="F23" s="122"/>
      <c r="G23" s="88"/>
      <c r="H23" s="89"/>
      <c r="I23" s="93"/>
      <c r="J23" s="42"/>
      <c r="K23" s="119"/>
      <c r="L23" s="121" t="s">
        <v>227</v>
      </c>
      <c r="M23" s="122"/>
      <c r="N23" s="122"/>
      <c r="O23" s="122"/>
      <c r="P23" s="122"/>
      <c r="Q23" s="88"/>
      <c r="R23" s="89"/>
      <c r="S23" s="93"/>
    </row>
    <row r="24" spans="1:19" ht="34.5" customHeight="1" x14ac:dyDescent="0.25">
      <c r="A24" s="119"/>
      <c r="B24" s="121" t="s">
        <v>228</v>
      </c>
      <c r="C24" s="122"/>
      <c r="D24" s="122"/>
      <c r="E24" s="122"/>
      <c r="F24" s="122"/>
      <c r="G24" s="88"/>
      <c r="H24" s="89"/>
      <c r="I24" s="93"/>
      <c r="J24" s="43"/>
      <c r="K24" s="119"/>
      <c r="L24" s="121" t="s">
        <v>228</v>
      </c>
      <c r="M24" s="122"/>
      <c r="N24" s="122"/>
      <c r="O24" s="122"/>
      <c r="P24" s="122"/>
      <c r="Q24" s="88"/>
      <c r="R24" s="89"/>
      <c r="S24" s="93"/>
    </row>
    <row r="25" spans="1:19" ht="74.25" customHeight="1" thickBot="1" x14ac:dyDescent="0.3">
      <c r="A25" s="120"/>
      <c r="B25" s="123" t="s">
        <v>234</v>
      </c>
      <c r="C25" s="124"/>
      <c r="D25" s="124"/>
      <c r="E25" s="124"/>
      <c r="F25" s="124"/>
      <c r="G25" s="90"/>
      <c r="H25" s="91"/>
      <c r="I25" s="94"/>
      <c r="J25" s="44"/>
      <c r="K25" s="120"/>
      <c r="L25" s="123" t="s">
        <v>234</v>
      </c>
      <c r="M25" s="124"/>
      <c r="N25" s="124"/>
      <c r="O25" s="124"/>
      <c r="P25" s="124"/>
      <c r="Q25" s="90"/>
      <c r="R25" s="91"/>
      <c r="S25" s="94"/>
    </row>
    <row r="26" spans="1:19" ht="29.25" hidden="1" customHeight="1" x14ac:dyDescent="0.25">
      <c r="A26" s="15"/>
      <c r="B26" s="137"/>
      <c r="C26" s="138"/>
      <c r="D26" s="138"/>
      <c r="E26" s="138"/>
      <c r="F26" s="138"/>
      <c r="G26" s="139"/>
      <c r="H26" s="140"/>
      <c r="I26" s="16"/>
      <c r="J26" s="40"/>
      <c r="K26" s="15"/>
      <c r="L26" s="137"/>
      <c r="M26" s="138"/>
      <c r="N26" s="138"/>
      <c r="O26" s="138"/>
      <c r="P26" s="138"/>
      <c r="Q26" s="139"/>
      <c r="R26" s="140"/>
      <c r="S26" s="16"/>
    </row>
    <row r="27" spans="1:19" ht="2.25" customHeight="1" thickBot="1" x14ac:dyDescent="0.3">
      <c r="A27" s="15"/>
      <c r="B27" s="137" t="s">
        <v>235</v>
      </c>
      <c r="C27" s="138"/>
      <c r="D27" s="138"/>
      <c r="E27" s="138"/>
      <c r="F27" s="138"/>
      <c r="G27" s="139"/>
      <c r="H27" s="140"/>
      <c r="I27" s="16"/>
      <c r="J27" s="45"/>
      <c r="K27" s="15"/>
      <c r="L27" s="137" t="s">
        <v>235</v>
      </c>
      <c r="M27" s="138"/>
      <c r="N27" s="138"/>
      <c r="O27" s="138"/>
      <c r="P27" s="138"/>
      <c r="Q27" s="139"/>
      <c r="R27" s="140"/>
      <c r="S27" s="16"/>
    </row>
    <row r="28" spans="1:19" ht="32.25" customHeight="1" thickBot="1" x14ac:dyDescent="0.3">
      <c r="A28" s="17"/>
      <c r="B28" s="78" t="s">
        <v>237</v>
      </c>
      <c r="C28" s="79"/>
      <c r="D28" s="79"/>
      <c r="E28" s="79"/>
      <c r="F28" s="79"/>
      <c r="G28" s="86">
        <v>4500</v>
      </c>
      <c r="H28" s="87"/>
      <c r="I28" s="108" t="s">
        <v>229</v>
      </c>
      <c r="J28" s="41"/>
      <c r="K28" s="17"/>
      <c r="L28" s="78" t="s">
        <v>237</v>
      </c>
      <c r="M28" s="79"/>
      <c r="N28" s="79"/>
      <c r="O28" s="79"/>
      <c r="P28" s="79"/>
      <c r="Q28" s="86">
        <v>5600</v>
      </c>
      <c r="R28" s="87"/>
      <c r="S28" s="108" t="s">
        <v>229</v>
      </c>
    </row>
    <row r="29" spans="1:19" ht="15.75" customHeight="1" thickBot="1" x14ac:dyDescent="0.3">
      <c r="A29" s="18"/>
      <c r="B29" s="110" t="s">
        <v>238</v>
      </c>
      <c r="C29" s="111"/>
      <c r="D29" s="111"/>
      <c r="E29" s="111"/>
      <c r="F29" s="111"/>
      <c r="G29" s="90"/>
      <c r="H29" s="91"/>
      <c r="I29" s="109"/>
      <c r="J29" s="46"/>
      <c r="K29" s="18"/>
      <c r="L29" s="110" t="s">
        <v>238</v>
      </c>
      <c r="M29" s="111"/>
      <c r="N29" s="111"/>
      <c r="O29" s="111"/>
      <c r="P29" s="111"/>
      <c r="Q29" s="90"/>
      <c r="R29" s="91"/>
      <c r="S29" s="109"/>
    </row>
    <row r="30" spans="1:19" ht="15.75" customHeight="1" thickBot="1" x14ac:dyDescent="0.3">
      <c r="A30" s="19"/>
      <c r="B30" s="112" t="s">
        <v>239</v>
      </c>
      <c r="C30" s="113"/>
      <c r="D30" s="113"/>
      <c r="E30" s="113"/>
      <c r="F30" s="113"/>
      <c r="G30" s="114">
        <f>SUM(G9:H29)</f>
        <v>330983.80560000002</v>
      </c>
      <c r="H30" s="115"/>
      <c r="I30" s="20"/>
      <c r="J30" s="47"/>
      <c r="K30" s="19"/>
      <c r="L30" s="112" t="s">
        <v>239</v>
      </c>
      <c r="M30" s="113"/>
      <c r="N30" s="113"/>
      <c r="O30" s="113"/>
      <c r="P30" s="113"/>
      <c r="Q30" s="114">
        <f>SUM(Q9:R29)</f>
        <v>443953.68319999997</v>
      </c>
      <c r="R30" s="115"/>
      <c r="S30" s="20"/>
    </row>
    <row r="31" spans="1:19" ht="22.5" customHeight="1" thickBot="1" x14ac:dyDescent="0.3">
      <c r="A31" s="21"/>
      <c r="B31" s="101" t="s">
        <v>240</v>
      </c>
      <c r="C31" s="102"/>
      <c r="D31" s="102"/>
      <c r="E31" s="102"/>
      <c r="F31" s="102"/>
      <c r="G31" s="116">
        <f>G30*1.2</f>
        <v>397180.56672</v>
      </c>
      <c r="H31" s="117"/>
      <c r="I31" s="22"/>
      <c r="J31" s="47"/>
      <c r="K31" s="21"/>
      <c r="L31" s="101" t="s">
        <v>240</v>
      </c>
      <c r="M31" s="102"/>
      <c r="N31" s="102"/>
      <c r="O31" s="102"/>
      <c r="P31" s="102"/>
      <c r="Q31" s="116">
        <f>Q30*1.2</f>
        <v>532744.41983999999</v>
      </c>
      <c r="R31" s="117"/>
      <c r="S31" s="22"/>
    </row>
    <row r="32" spans="1:19" ht="22.5" customHeight="1" thickBot="1" x14ac:dyDescent="0.3">
      <c r="A32" s="24"/>
      <c r="B32" s="96" t="s">
        <v>443</v>
      </c>
      <c r="C32" s="97"/>
      <c r="D32" s="97"/>
      <c r="E32" s="97"/>
      <c r="F32" s="97"/>
      <c r="G32" s="311">
        <v>398877.18</v>
      </c>
      <c r="H32" s="312"/>
      <c r="I32" s="313"/>
      <c r="J32" s="47"/>
      <c r="K32" s="24"/>
      <c r="L32" s="96" t="s">
        <v>443</v>
      </c>
      <c r="M32" s="97"/>
      <c r="N32" s="97"/>
      <c r="O32" s="97"/>
      <c r="P32" s="97"/>
      <c r="Q32" s="311">
        <v>536596.65</v>
      </c>
      <c r="R32" s="312"/>
      <c r="S32" s="313"/>
    </row>
    <row r="33" spans="1:19" ht="22.5" customHeight="1" thickBot="1" x14ac:dyDescent="0.3">
      <c r="A33" s="19"/>
      <c r="B33" s="101" t="s">
        <v>242</v>
      </c>
      <c r="C33" s="102"/>
      <c r="D33" s="102"/>
      <c r="E33" s="102"/>
      <c r="F33" s="102"/>
      <c r="G33" s="307">
        <v>403659.51</v>
      </c>
      <c r="H33" s="308"/>
      <c r="I33" s="309"/>
      <c r="J33" s="48"/>
      <c r="K33" s="19"/>
      <c r="L33" s="101" t="s">
        <v>242</v>
      </c>
      <c r="M33" s="102"/>
      <c r="N33" s="102"/>
      <c r="O33" s="102"/>
      <c r="P33" s="102"/>
      <c r="Q33" s="307">
        <v>543248.69999999995</v>
      </c>
      <c r="R33" s="308"/>
      <c r="S33" s="309"/>
    </row>
    <row r="34" spans="1:19" ht="22.5" customHeight="1" thickBot="1" x14ac:dyDescent="0.3">
      <c r="A34" s="19"/>
      <c r="B34" s="106" t="s">
        <v>444</v>
      </c>
      <c r="C34" s="107"/>
      <c r="D34" s="107"/>
      <c r="E34" s="107"/>
      <c r="F34" s="107"/>
      <c r="G34" s="307">
        <v>63775.55</v>
      </c>
      <c r="H34" s="308"/>
      <c r="I34" s="309"/>
      <c r="J34" s="49"/>
      <c r="K34" s="19"/>
      <c r="L34" s="106" t="s">
        <v>444</v>
      </c>
      <c r="M34" s="107"/>
      <c r="N34" s="107"/>
      <c r="O34" s="107"/>
      <c r="P34" s="107"/>
      <c r="Q34" s="307">
        <v>130346.46</v>
      </c>
      <c r="R34" s="308"/>
      <c r="S34" s="309"/>
    </row>
    <row r="35" spans="1:19" ht="30.6" customHeight="1" x14ac:dyDescent="0.25">
      <c r="E35" s="50"/>
      <c r="I35" s="5"/>
      <c r="L35" s="95" t="s">
        <v>555</v>
      </c>
      <c r="M35" s="95"/>
      <c r="N35" s="95"/>
      <c r="O35" s="95"/>
      <c r="P35" s="95"/>
      <c r="Q35" s="95"/>
      <c r="R35" s="95"/>
      <c r="S35" s="95"/>
    </row>
    <row r="36" spans="1:19" x14ac:dyDescent="0.25">
      <c r="A36" s="3"/>
      <c r="I36" s="5"/>
      <c r="K36" s="3"/>
      <c r="S36" s="5"/>
    </row>
    <row r="37" spans="1:19" ht="15.75" x14ac:dyDescent="0.25">
      <c r="A37" s="30"/>
      <c r="C37" s="30"/>
      <c r="K37" s="30"/>
      <c r="N37" s="30"/>
    </row>
    <row r="38" spans="1:19" ht="15.75" x14ac:dyDescent="0.25">
      <c r="A38" s="30"/>
      <c r="C38" s="30"/>
      <c r="K38" s="30"/>
      <c r="N38" s="30"/>
    </row>
    <row r="39" spans="1:19" x14ac:dyDescent="0.25">
      <c r="A39" s="3"/>
      <c r="B39" s="3"/>
      <c r="C39" s="3"/>
      <c r="D39" s="3"/>
      <c r="E39" s="4" t="s">
        <v>204</v>
      </c>
      <c r="F39" s="3"/>
      <c r="G39" s="3"/>
      <c r="H39" s="3"/>
      <c r="I39" s="3"/>
      <c r="K39" s="3"/>
      <c r="L39" s="3"/>
      <c r="M39" s="3"/>
      <c r="N39" s="3"/>
      <c r="O39" s="4" t="s">
        <v>204</v>
      </c>
      <c r="P39" s="3"/>
      <c r="Q39" s="3"/>
      <c r="R39" s="3"/>
      <c r="S39" s="3"/>
    </row>
    <row r="40" spans="1:19" x14ac:dyDescent="0.25">
      <c r="A40" s="3" t="s">
        <v>205</v>
      </c>
      <c r="B40" s="3"/>
      <c r="C40" s="3"/>
      <c r="D40" s="3" t="s">
        <v>336</v>
      </c>
      <c r="E40" s="3"/>
      <c r="F40" s="3"/>
      <c r="G40" s="3"/>
      <c r="H40" s="3"/>
      <c r="I40" s="3"/>
      <c r="K40" s="3" t="s">
        <v>205</v>
      </c>
      <c r="L40" s="3"/>
      <c r="M40" s="3"/>
      <c r="N40" s="3" t="s">
        <v>337</v>
      </c>
      <c r="O40" s="3"/>
      <c r="P40" s="3"/>
      <c r="Q40" s="3"/>
      <c r="R40" s="3"/>
      <c r="S40" s="3"/>
    </row>
    <row r="41" spans="1:19" x14ac:dyDescent="0.25">
      <c r="A41" s="3"/>
      <c r="B41" s="5" t="s">
        <v>440</v>
      </c>
      <c r="C41" s="3"/>
      <c r="D41" s="3"/>
      <c r="E41" s="3"/>
      <c r="F41" s="3"/>
      <c r="G41" s="3"/>
      <c r="H41" s="3"/>
      <c r="I41" s="3"/>
      <c r="J41" s="3"/>
      <c r="K41" s="3"/>
      <c r="L41" s="5" t="s">
        <v>440</v>
      </c>
      <c r="M41" s="3"/>
      <c r="N41" s="3"/>
      <c r="O41" s="3"/>
      <c r="P41" s="3"/>
      <c r="Q41" s="3"/>
      <c r="R41" s="3"/>
      <c r="S41" s="3"/>
    </row>
    <row r="42" spans="1:19" ht="15.75" thickBot="1" x14ac:dyDescent="0.3">
      <c r="A42" s="3"/>
      <c r="B42" s="5" t="s">
        <v>206</v>
      </c>
      <c r="C42" s="3"/>
      <c r="D42" s="3"/>
      <c r="E42" s="3"/>
      <c r="F42" s="3">
        <f>'[1]Ж-2'!$F$9</f>
        <v>6160.9</v>
      </c>
      <c r="G42" s="3" t="s">
        <v>207</v>
      </c>
      <c r="H42" s="65"/>
      <c r="I42" s="3"/>
      <c r="J42" s="3"/>
      <c r="K42" s="3"/>
      <c r="L42" s="5" t="s">
        <v>206</v>
      </c>
      <c r="M42" s="3"/>
      <c r="N42" s="3"/>
      <c r="O42" s="3"/>
      <c r="P42" s="3">
        <f>'[1]Ж-2'!$G$9</f>
        <v>3868</v>
      </c>
      <c r="Q42" s="3" t="s">
        <v>207</v>
      </c>
      <c r="R42" s="65"/>
      <c r="S42" s="3"/>
    </row>
    <row r="43" spans="1:19" ht="15" customHeight="1" x14ac:dyDescent="0.25">
      <c r="A43" s="175" t="s">
        <v>209</v>
      </c>
      <c r="B43" s="177" t="s">
        <v>210</v>
      </c>
      <c r="C43" s="178"/>
      <c r="D43" s="178"/>
      <c r="E43" s="178"/>
      <c r="F43" s="178"/>
      <c r="G43" s="180" t="s">
        <v>442</v>
      </c>
      <c r="H43" s="181"/>
      <c r="I43" s="175" t="s">
        <v>212</v>
      </c>
      <c r="J43" s="51"/>
      <c r="K43" s="175" t="s">
        <v>209</v>
      </c>
      <c r="L43" s="177" t="s">
        <v>210</v>
      </c>
      <c r="M43" s="178"/>
      <c r="N43" s="178"/>
      <c r="O43" s="178"/>
      <c r="P43" s="178"/>
      <c r="Q43" s="180" t="s">
        <v>442</v>
      </c>
      <c r="R43" s="181"/>
      <c r="S43" s="175" t="s">
        <v>212</v>
      </c>
    </row>
    <row r="44" spans="1:19" ht="69" customHeight="1" thickBot="1" x14ac:dyDescent="0.3">
      <c r="A44" s="176"/>
      <c r="B44" s="179"/>
      <c r="C44" s="179"/>
      <c r="D44" s="179"/>
      <c r="E44" s="179"/>
      <c r="F44" s="179"/>
      <c r="G44" s="182"/>
      <c r="H44" s="183"/>
      <c r="I44" s="184"/>
      <c r="J44" s="52"/>
      <c r="K44" s="176"/>
      <c r="L44" s="179"/>
      <c r="M44" s="179"/>
      <c r="N44" s="179"/>
      <c r="O44" s="179"/>
      <c r="P44" s="179"/>
      <c r="Q44" s="182"/>
      <c r="R44" s="183"/>
      <c r="S44" s="184"/>
    </row>
    <row r="45" spans="1:19" ht="15" customHeight="1" x14ac:dyDescent="0.25">
      <c r="A45" s="185" t="s">
        <v>213</v>
      </c>
      <c r="B45" s="187" t="s">
        <v>354</v>
      </c>
      <c r="C45" s="188"/>
      <c r="D45" s="188"/>
      <c r="E45" s="188"/>
      <c r="F45" s="188"/>
      <c r="G45" s="190">
        <v>99778.79</v>
      </c>
      <c r="H45" s="191"/>
      <c r="I45" s="192"/>
      <c r="J45" s="53"/>
      <c r="K45" s="185" t="s">
        <v>213</v>
      </c>
      <c r="L45" s="187" t="s">
        <v>354</v>
      </c>
      <c r="M45" s="188"/>
      <c r="N45" s="188"/>
      <c r="O45" s="188"/>
      <c r="P45" s="188"/>
      <c r="Q45" s="190">
        <v>103971.02</v>
      </c>
      <c r="R45" s="191"/>
      <c r="S45" s="192"/>
    </row>
    <row r="46" spans="1:19" ht="7.5" customHeight="1" thickBot="1" x14ac:dyDescent="0.3">
      <c r="A46" s="186"/>
      <c r="B46" s="189"/>
      <c r="C46" s="189"/>
      <c r="D46" s="189"/>
      <c r="E46" s="189"/>
      <c r="F46" s="189"/>
      <c r="G46" s="193"/>
      <c r="H46" s="194"/>
      <c r="I46" s="128"/>
      <c r="J46" s="54"/>
      <c r="K46" s="186"/>
      <c r="L46" s="189"/>
      <c r="M46" s="189"/>
      <c r="N46" s="189"/>
      <c r="O46" s="189"/>
      <c r="P46" s="189"/>
      <c r="Q46" s="193"/>
      <c r="R46" s="194"/>
      <c r="S46" s="128"/>
    </row>
    <row r="47" spans="1:19" ht="17.25" customHeight="1" x14ac:dyDescent="0.25">
      <c r="A47" s="6"/>
      <c r="B47" s="161" t="s">
        <v>214</v>
      </c>
      <c r="C47" s="162"/>
      <c r="D47" s="162"/>
      <c r="E47" s="162"/>
      <c r="F47" s="162"/>
      <c r="G47" s="163">
        <f>1.75*12*F42</f>
        <v>129378.9</v>
      </c>
      <c r="H47" s="164"/>
      <c r="I47" s="169" t="s">
        <v>215</v>
      </c>
      <c r="J47" s="42"/>
      <c r="K47" s="6"/>
      <c r="L47" s="161" t="s">
        <v>214</v>
      </c>
      <c r="M47" s="162"/>
      <c r="N47" s="162"/>
      <c r="O47" s="162"/>
      <c r="P47" s="162"/>
      <c r="Q47" s="163">
        <f>1.55*12*P42</f>
        <v>71944.800000000003</v>
      </c>
      <c r="R47" s="164"/>
      <c r="S47" s="169" t="s">
        <v>215</v>
      </c>
    </row>
    <row r="48" spans="1:19" ht="34.5" customHeight="1" thickBot="1" x14ac:dyDescent="0.3">
      <c r="A48" s="7"/>
      <c r="B48" s="171" t="s">
        <v>216</v>
      </c>
      <c r="C48" s="172"/>
      <c r="D48" s="172"/>
      <c r="E48" s="172"/>
      <c r="F48" s="172"/>
      <c r="G48" s="165"/>
      <c r="H48" s="166"/>
      <c r="I48" s="170"/>
      <c r="J48" s="43"/>
      <c r="K48" s="7"/>
      <c r="L48" s="171" t="s">
        <v>216</v>
      </c>
      <c r="M48" s="172"/>
      <c r="N48" s="172"/>
      <c r="O48" s="172"/>
      <c r="P48" s="172"/>
      <c r="Q48" s="165"/>
      <c r="R48" s="166"/>
      <c r="S48" s="170"/>
    </row>
    <row r="49" spans="1:19" ht="13.5" customHeight="1" thickBot="1" x14ac:dyDescent="0.3">
      <c r="A49" s="7"/>
      <c r="B49" s="173" t="s">
        <v>217</v>
      </c>
      <c r="C49" s="174"/>
      <c r="D49" s="174"/>
      <c r="E49" s="174"/>
      <c r="F49" s="174"/>
      <c r="G49" s="167"/>
      <c r="H49" s="168"/>
      <c r="I49" s="8" t="s">
        <v>218</v>
      </c>
      <c r="J49" s="43"/>
      <c r="K49" s="7"/>
      <c r="L49" s="173" t="s">
        <v>217</v>
      </c>
      <c r="M49" s="174"/>
      <c r="N49" s="174"/>
      <c r="O49" s="174"/>
      <c r="P49" s="174"/>
      <c r="Q49" s="167"/>
      <c r="R49" s="168"/>
      <c r="S49" s="8" t="s">
        <v>218</v>
      </c>
    </row>
    <row r="50" spans="1:19" ht="18" customHeight="1" thickBot="1" x14ac:dyDescent="0.3">
      <c r="A50" s="7"/>
      <c r="B50" s="141" t="s">
        <v>219</v>
      </c>
      <c r="C50" s="142"/>
      <c r="D50" s="142"/>
      <c r="E50" s="142"/>
      <c r="F50" s="142"/>
      <c r="G50" s="143">
        <v>0</v>
      </c>
      <c r="H50" s="144"/>
      <c r="I50" s="8" t="s">
        <v>220</v>
      </c>
      <c r="J50" s="55"/>
      <c r="K50" s="7"/>
      <c r="L50" s="141" t="s">
        <v>219</v>
      </c>
      <c r="M50" s="142"/>
      <c r="N50" s="142"/>
      <c r="O50" s="142"/>
      <c r="P50" s="142"/>
      <c r="Q50" s="143">
        <f>1748.85*2*12</f>
        <v>41972.399999999994</v>
      </c>
      <c r="R50" s="144"/>
      <c r="S50" s="8" t="s">
        <v>220</v>
      </c>
    </row>
    <row r="51" spans="1:19" ht="18" customHeight="1" thickBot="1" x14ac:dyDescent="0.3">
      <c r="A51" s="7"/>
      <c r="B51" s="141" t="s">
        <v>221</v>
      </c>
      <c r="C51" s="142"/>
      <c r="D51" s="142"/>
      <c r="E51" s="142"/>
      <c r="F51" s="142"/>
      <c r="G51" s="143">
        <f>0.47*12*F42</f>
        <v>34747.475999999995</v>
      </c>
      <c r="H51" s="144"/>
      <c r="I51" s="8" t="s">
        <v>222</v>
      </c>
      <c r="J51" s="56"/>
      <c r="K51" s="7"/>
      <c r="L51" s="141" t="s">
        <v>221</v>
      </c>
      <c r="M51" s="142"/>
      <c r="N51" s="142"/>
      <c r="O51" s="142"/>
      <c r="P51" s="142"/>
      <c r="Q51" s="143">
        <f>0.474*12*P42</f>
        <v>22001.183999999997</v>
      </c>
      <c r="R51" s="144"/>
      <c r="S51" s="8" t="s">
        <v>222</v>
      </c>
    </row>
    <row r="52" spans="1:19" ht="13.5" customHeight="1" x14ac:dyDescent="0.25">
      <c r="A52" s="9"/>
      <c r="B52" s="145" t="s">
        <v>223</v>
      </c>
      <c r="C52" s="146"/>
      <c r="D52" s="146"/>
      <c r="E52" s="146"/>
      <c r="F52" s="146"/>
      <c r="G52" s="86">
        <f>2.32*12*F42</f>
        <v>171519.45599999998</v>
      </c>
      <c r="H52" s="147"/>
      <c r="I52" s="152" t="s">
        <v>224</v>
      </c>
      <c r="J52" s="56"/>
      <c r="K52" s="9"/>
      <c r="L52" s="145" t="s">
        <v>223</v>
      </c>
      <c r="M52" s="146"/>
      <c r="N52" s="146"/>
      <c r="O52" s="146"/>
      <c r="P52" s="146"/>
      <c r="Q52" s="86">
        <f>1.89*12*P42</f>
        <v>87726.24</v>
      </c>
      <c r="R52" s="147"/>
      <c r="S52" s="152" t="s">
        <v>224</v>
      </c>
    </row>
    <row r="53" spans="1:19" ht="13.5" customHeight="1" x14ac:dyDescent="0.25">
      <c r="A53" s="10"/>
      <c r="B53" s="155" t="s">
        <v>226</v>
      </c>
      <c r="C53" s="156"/>
      <c r="D53" s="156"/>
      <c r="E53" s="156"/>
      <c r="F53" s="156"/>
      <c r="G53" s="148"/>
      <c r="H53" s="149"/>
      <c r="I53" s="153"/>
      <c r="J53" s="57"/>
      <c r="K53" s="10"/>
      <c r="L53" s="155" t="s">
        <v>226</v>
      </c>
      <c r="M53" s="156"/>
      <c r="N53" s="156"/>
      <c r="O53" s="156"/>
      <c r="P53" s="156"/>
      <c r="Q53" s="148"/>
      <c r="R53" s="149"/>
      <c r="S53" s="153"/>
    </row>
    <row r="54" spans="1:19" ht="13.5" customHeight="1" thickBot="1" x14ac:dyDescent="0.3">
      <c r="A54" s="10"/>
      <c r="B54" s="157" t="s">
        <v>227</v>
      </c>
      <c r="C54" s="158"/>
      <c r="D54" s="158"/>
      <c r="E54" s="158"/>
      <c r="F54" s="158"/>
      <c r="G54" s="148"/>
      <c r="H54" s="149"/>
      <c r="I54" s="154"/>
      <c r="J54" s="43"/>
      <c r="K54" s="10"/>
      <c r="L54" s="157" t="s">
        <v>227</v>
      </c>
      <c r="M54" s="158"/>
      <c r="N54" s="158"/>
      <c r="O54" s="158"/>
      <c r="P54" s="158"/>
      <c r="Q54" s="148"/>
      <c r="R54" s="149"/>
      <c r="S54" s="154"/>
    </row>
    <row r="55" spans="1:19" ht="13.5" customHeight="1" thickBot="1" x14ac:dyDescent="0.3">
      <c r="A55" s="10"/>
      <c r="B55" s="159" t="s">
        <v>228</v>
      </c>
      <c r="C55" s="160"/>
      <c r="D55" s="160"/>
      <c r="E55" s="160"/>
      <c r="F55" s="160"/>
      <c r="G55" s="150"/>
      <c r="H55" s="151"/>
      <c r="I55" s="11" t="s">
        <v>229</v>
      </c>
      <c r="J55" s="43"/>
      <c r="K55" s="10"/>
      <c r="L55" s="159" t="s">
        <v>228</v>
      </c>
      <c r="M55" s="160"/>
      <c r="N55" s="160"/>
      <c r="O55" s="160"/>
      <c r="P55" s="160"/>
      <c r="Q55" s="150"/>
      <c r="R55" s="151"/>
      <c r="S55" s="11" t="s">
        <v>229</v>
      </c>
    </row>
    <row r="56" spans="1:19" ht="13.5" customHeight="1" x14ac:dyDescent="0.25">
      <c r="A56" s="12"/>
      <c r="B56" s="125" t="s">
        <v>230</v>
      </c>
      <c r="C56" s="126"/>
      <c r="D56" s="126"/>
      <c r="E56" s="126"/>
      <c r="F56" s="126"/>
      <c r="G56" s="86">
        <f>0.048*12*F42</f>
        <v>3548.6784000000002</v>
      </c>
      <c r="H56" s="87"/>
      <c r="I56" s="129" t="s">
        <v>220</v>
      </c>
      <c r="J56" s="43"/>
      <c r="K56" s="12"/>
      <c r="L56" s="125" t="s">
        <v>230</v>
      </c>
      <c r="M56" s="126"/>
      <c r="N56" s="126"/>
      <c r="O56" s="126"/>
      <c r="P56" s="126"/>
      <c r="Q56" s="86">
        <f>0.04*12*P42</f>
        <v>1856.6399999999999</v>
      </c>
      <c r="R56" s="87"/>
      <c r="S56" s="129" t="s">
        <v>220</v>
      </c>
    </row>
    <row r="57" spans="1:19" ht="13.5" customHeight="1" thickBot="1" x14ac:dyDescent="0.3">
      <c r="A57" s="7"/>
      <c r="B57" s="131" t="s">
        <v>231</v>
      </c>
      <c r="C57" s="132"/>
      <c r="D57" s="132"/>
      <c r="E57" s="132"/>
      <c r="F57" s="132"/>
      <c r="G57" s="127"/>
      <c r="H57" s="128"/>
      <c r="I57" s="130"/>
      <c r="J57" s="43"/>
      <c r="K57" s="7"/>
      <c r="L57" s="131" t="s">
        <v>231</v>
      </c>
      <c r="M57" s="132"/>
      <c r="N57" s="132"/>
      <c r="O57" s="132"/>
      <c r="P57" s="132"/>
      <c r="Q57" s="127"/>
      <c r="R57" s="128"/>
      <c r="S57" s="130"/>
    </row>
    <row r="58" spans="1:19" ht="15.75" customHeight="1" thickBot="1" x14ac:dyDescent="0.3">
      <c r="A58" s="13"/>
      <c r="B58" s="133" t="s">
        <v>232</v>
      </c>
      <c r="C58" s="134"/>
      <c r="D58" s="134"/>
      <c r="E58" s="134"/>
      <c r="F58" s="134"/>
      <c r="G58" s="135"/>
      <c r="H58" s="136"/>
      <c r="I58" s="14"/>
      <c r="J58" s="58"/>
      <c r="K58" s="13"/>
      <c r="L58" s="133" t="s">
        <v>232</v>
      </c>
      <c r="M58" s="134"/>
      <c r="N58" s="134"/>
      <c r="O58" s="134"/>
      <c r="P58" s="134"/>
      <c r="Q58" s="135"/>
      <c r="R58" s="136"/>
      <c r="S58" s="14"/>
    </row>
    <row r="59" spans="1:19" ht="44.25" customHeight="1" thickBot="1" x14ac:dyDescent="0.3">
      <c r="A59" s="13"/>
      <c r="B59" s="84" t="s">
        <v>233</v>
      </c>
      <c r="C59" s="85"/>
      <c r="D59" s="85"/>
      <c r="E59" s="85"/>
      <c r="F59" s="85"/>
      <c r="G59" s="86">
        <f>1.63*12*F42</f>
        <v>120507.20399999998</v>
      </c>
      <c r="H59" s="87"/>
      <c r="I59" s="92" t="s">
        <v>557</v>
      </c>
      <c r="J59" s="41"/>
      <c r="K59" s="13"/>
      <c r="L59" s="84" t="s">
        <v>233</v>
      </c>
      <c r="M59" s="85"/>
      <c r="N59" s="85"/>
      <c r="O59" s="85"/>
      <c r="P59" s="85"/>
      <c r="Q59" s="86">
        <f>1.29*12*P42</f>
        <v>59876.639999999999</v>
      </c>
      <c r="R59" s="87"/>
      <c r="S59" s="92" t="s">
        <v>558</v>
      </c>
    </row>
    <row r="60" spans="1:19" ht="32.25" customHeight="1" x14ac:dyDescent="0.25">
      <c r="A60" s="118"/>
      <c r="B60" s="121" t="s">
        <v>226</v>
      </c>
      <c r="C60" s="122"/>
      <c r="D60" s="122"/>
      <c r="E60" s="122"/>
      <c r="F60" s="122"/>
      <c r="G60" s="88"/>
      <c r="H60" s="89"/>
      <c r="I60" s="93"/>
      <c r="J60" s="41"/>
      <c r="K60" s="118"/>
      <c r="L60" s="121" t="s">
        <v>226</v>
      </c>
      <c r="M60" s="122"/>
      <c r="N60" s="122"/>
      <c r="O60" s="122"/>
      <c r="P60" s="122"/>
      <c r="Q60" s="88"/>
      <c r="R60" s="89"/>
      <c r="S60" s="93"/>
    </row>
    <row r="61" spans="1:19" ht="35.25" customHeight="1" x14ac:dyDescent="0.25">
      <c r="A61" s="119"/>
      <c r="B61" s="121" t="s">
        <v>227</v>
      </c>
      <c r="C61" s="122"/>
      <c r="D61" s="122"/>
      <c r="E61" s="122"/>
      <c r="F61" s="122"/>
      <c r="G61" s="88"/>
      <c r="H61" s="89"/>
      <c r="I61" s="93"/>
      <c r="J61" s="42"/>
      <c r="K61" s="119"/>
      <c r="L61" s="121" t="s">
        <v>227</v>
      </c>
      <c r="M61" s="122"/>
      <c r="N61" s="122"/>
      <c r="O61" s="122"/>
      <c r="P61" s="122"/>
      <c r="Q61" s="88"/>
      <c r="R61" s="89"/>
      <c r="S61" s="93"/>
    </row>
    <row r="62" spans="1:19" ht="38.25" customHeight="1" x14ac:dyDescent="0.25">
      <c r="A62" s="119"/>
      <c r="B62" s="121" t="s">
        <v>228</v>
      </c>
      <c r="C62" s="122"/>
      <c r="D62" s="122"/>
      <c r="E62" s="122"/>
      <c r="F62" s="122"/>
      <c r="G62" s="88"/>
      <c r="H62" s="89"/>
      <c r="I62" s="93"/>
      <c r="J62" s="43"/>
      <c r="K62" s="119"/>
      <c r="L62" s="121" t="s">
        <v>228</v>
      </c>
      <c r="M62" s="122"/>
      <c r="N62" s="122"/>
      <c r="O62" s="122"/>
      <c r="P62" s="122"/>
      <c r="Q62" s="88"/>
      <c r="R62" s="89"/>
      <c r="S62" s="93"/>
    </row>
    <row r="63" spans="1:19" ht="60" customHeight="1" thickBot="1" x14ac:dyDescent="0.3">
      <c r="A63" s="120"/>
      <c r="B63" s="123" t="s">
        <v>234</v>
      </c>
      <c r="C63" s="124"/>
      <c r="D63" s="124"/>
      <c r="E63" s="124"/>
      <c r="F63" s="124"/>
      <c r="G63" s="90"/>
      <c r="H63" s="91"/>
      <c r="I63" s="94"/>
      <c r="J63" s="59"/>
      <c r="K63" s="120"/>
      <c r="L63" s="123" t="s">
        <v>234</v>
      </c>
      <c r="M63" s="124"/>
      <c r="N63" s="124"/>
      <c r="O63" s="124"/>
      <c r="P63" s="124"/>
      <c r="Q63" s="90"/>
      <c r="R63" s="91"/>
      <c r="S63" s="94"/>
    </row>
    <row r="64" spans="1:19" ht="0.75" hidden="1" customHeight="1" x14ac:dyDescent="0.25">
      <c r="A64" s="15"/>
      <c r="B64" s="137"/>
      <c r="C64" s="138"/>
      <c r="D64" s="138"/>
      <c r="E64" s="138"/>
      <c r="F64" s="138"/>
      <c r="G64" s="139"/>
      <c r="H64" s="140"/>
      <c r="I64" s="16"/>
      <c r="J64" s="58"/>
      <c r="K64" s="15"/>
      <c r="L64" s="137"/>
      <c r="M64" s="138"/>
      <c r="N64" s="138"/>
      <c r="O64" s="138"/>
      <c r="P64" s="138"/>
      <c r="Q64" s="139"/>
      <c r="R64" s="140"/>
      <c r="S64" s="16"/>
    </row>
    <row r="65" spans="1:19" ht="26.25" hidden="1" customHeight="1" x14ac:dyDescent="0.25">
      <c r="A65" s="15"/>
      <c r="B65" s="137" t="s">
        <v>235</v>
      </c>
      <c r="C65" s="138"/>
      <c r="D65" s="138"/>
      <c r="E65" s="138"/>
      <c r="F65" s="138"/>
      <c r="G65" s="139"/>
      <c r="H65" s="140"/>
      <c r="I65" s="16"/>
      <c r="J65" s="45"/>
      <c r="K65" s="15"/>
      <c r="L65" s="137" t="s">
        <v>235</v>
      </c>
      <c r="M65" s="138"/>
      <c r="N65" s="138"/>
      <c r="O65" s="138"/>
      <c r="P65" s="138"/>
      <c r="Q65" s="139"/>
      <c r="R65" s="140"/>
      <c r="S65" s="16"/>
    </row>
    <row r="66" spans="1:19" ht="32.25" customHeight="1" thickBot="1" x14ac:dyDescent="0.3">
      <c r="A66" s="17"/>
      <c r="B66" s="78" t="s">
        <v>237</v>
      </c>
      <c r="C66" s="79"/>
      <c r="D66" s="79"/>
      <c r="E66" s="79"/>
      <c r="F66" s="79"/>
      <c r="G66" s="86">
        <v>5100</v>
      </c>
      <c r="H66" s="87"/>
      <c r="I66" s="108" t="s">
        <v>229</v>
      </c>
      <c r="J66" s="41"/>
      <c r="K66" s="17"/>
      <c r="L66" s="78" t="s">
        <v>237</v>
      </c>
      <c r="M66" s="79"/>
      <c r="N66" s="79"/>
      <c r="O66" s="79"/>
      <c r="P66" s="79"/>
      <c r="Q66" s="86">
        <f>9247+3447</f>
        <v>12694</v>
      </c>
      <c r="R66" s="87"/>
      <c r="S66" s="108" t="s">
        <v>229</v>
      </c>
    </row>
    <row r="67" spans="1:19" ht="15.75" customHeight="1" thickBot="1" x14ac:dyDescent="0.3">
      <c r="A67" s="18"/>
      <c r="B67" s="110" t="s">
        <v>238</v>
      </c>
      <c r="C67" s="111"/>
      <c r="D67" s="111"/>
      <c r="E67" s="111"/>
      <c r="F67" s="111"/>
      <c r="G67" s="90"/>
      <c r="H67" s="91"/>
      <c r="I67" s="109"/>
      <c r="J67" s="41"/>
      <c r="K67" s="18"/>
      <c r="L67" s="110" t="s">
        <v>238</v>
      </c>
      <c r="M67" s="111"/>
      <c r="N67" s="111"/>
      <c r="O67" s="111"/>
      <c r="P67" s="111"/>
      <c r="Q67" s="90"/>
      <c r="R67" s="91"/>
      <c r="S67" s="109"/>
    </row>
    <row r="68" spans="1:19" ht="15.75" customHeight="1" thickBot="1" x14ac:dyDescent="0.3">
      <c r="A68" s="19"/>
      <c r="B68" s="112" t="s">
        <v>239</v>
      </c>
      <c r="C68" s="113"/>
      <c r="D68" s="113"/>
      <c r="E68" s="113"/>
      <c r="F68" s="113"/>
      <c r="G68" s="114">
        <f>SUM(G47:H67)</f>
        <v>464801.71439999988</v>
      </c>
      <c r="H68" s="115"/>
      <c r="I68" s="20"/>
      <c r="J68" s="60"/>
      <c r="K68" s="19"/>
      <c r="L68" s="112" t="s">
        <v>239</v>
      </c>
      <c r="M68" s="113"/>
      <c r="N68" s="113"/>
      <c r="O68" s="113"/>
      <c r="P68" s="113"/>
      <c r="Q68" s="114">
        <f>SUM(Q47:R67)</f>
        <v>298071.90400000004</v>
      </c>
      <c r="R68" s="115"/>
      <c r="S68" s="20"/>
    </row>
    <row r="69" spans="1:19" ht="22.5" customHeight="1" thickBot="1" x14ac:dyDescent="0.3">
      <c r="A69" s="21"/>
      <c r="B69" s="101" t="s">
        <v>240</v>
      </c>
      <c r="C69" s="102"/>
      <c r="D69" s="102"/>
      <c r="E69" s="102"/>
      <c r="F69" s="102"/>
      <c r="G69" s="116">
        <f>G68*1.2</f>
        <v>557762.05727999983</v>
      </c>
      <c r="H69" s="117"/>
      <c r="I69" s="22"/>
      <c r="J69" s="60"/>
      <c r="K69" s="21"/>
      <c r="L69" s="101" t="s">
        <v>240</v>
      </c>
      <c r="M69" s="102"/>
      <c r="N69" s="102"/>
      <c r="O69" s="102"/>
      <c r="P69" s="102"/>
      <c r="Q69" s="116">
        <f>Q68*1.2</f>
        <v>357686.28480000002</v>
      </c>
      <c r="R69" s="117"/>
      <c r="S69" s="22"/>
    </row>
    <row r="70" spans="1:19" ht="22.5" customHeight="1" thickBot="1" x14ac:dyDescent="0.3">
      <c r="A70" s="24"/>
      <c r="B70" s="96" t="s">
        <v>443</v>
      </c>
      <c r="C70" s="97"/>
      <c r="D70" s="97"/>
      <c r="E70" s="97"/>
      <c r="F70" s="97"/>
      <c r="G70" s="311">
        <v>556714.62</v>
      </c>
      <c r="H70" s="312"/>
      <c r="I70" s="313"/>
      <c r="J70" s="60"/>
      <c r="K70" s="24"/>
      <c r="L70" s="96" t="s">
        <v>443</v>
      </c>
      <c r="M70" s="97"/>
      <c r="N70" s="97"/>
      <c r="O70" s="97"/>
      <c r="P70" s="97"/>
      <c r="Q70" s="311">
        <v>361266.84</v>
      </c>
      <c r="R70" s="312"/>
      <c r="S70" s="313"/>
    </row>
    <row r="71" spans="1:19" ht="22.5" customHeight="1" thickBot="1" x14ac:dyDescent="0.3">
      <c r="A71" s="19"/>
      <c r="B71" s="101" t="s">
        <v>242</v>
      </c>
      <c r="C71" s="102"/>
      <c r="D71" s="102"/>
      <c r="E71" s="102"/>
      <c r="F71" s="102"/>
      <c r="G71" s="307">
        <v>558533.02</v>
      </c>
      <c r="H71" s="308"/>
      <c r="I71" s="309"/>
      <c r="K71" s="19"/>
      <c r="L71" s="101" t="s">
        <v>242</v>
      </c>
      <c r="M71" s="102"/>
      <c r="N71" s="102"/>
      <c r="O71" s="102"/>
      <c r="P71" s="102"/>
      <c r="Q71" s="307">
        <v>375982.86</v>
      </c>
      <c r="R71" s="308"/>
      <c r="S71" s="309"/>
    </row>
    <row r="72" spans="1:19" ht="22.5" customHeight="1" thickBot="1" x14ac:dyDescent="0.3">
      <c r="A72" s="19"/>
      <c r="B72" s="106" t="s">
        <v>444</v>
      </c>
      <c r="C72" s="107"/>
      <c r="D72" s="107"/>
      <c r="E72" s="107"/>
      <c r="F72" s="107"/>
      <c r="G72" s="307">
        <v>97960.39</v>
      </c>
      <c r="H72" s="308"/>
      <c r="I72" s="309"/>
      <c r="J72" s="61"/>
      <c r="K72" s="19"/>
      <c r="L72" s="106" t="s">
        <v>444</v>
      </c>
      <c r="M72" s="107"/>
      <c r="N72" s="107"/>
      <c r="O72" s="107"/>
      <c r="P72" s="107"/>
      <c r="Q72" s="282">
        <v>89255</v>
      </c>
      <c r="R72" s="336"/>
      <c r="S72" s="337"/>
    </row>
    <row r="73" spans="1:19" ht="39.75" customHeight="1" x14ac:dyDescent="0.25">
      <c r="A73" s="4"/>
      <c r="B73" s="195"/>
      <c r="C73" s="195"/>
      <c r="D73" s="195"/>
      <c r="E73" s="195"/>
      <c r="F73" s="195"/>
      <c r="G73" s="195"/>
      <c r="H73" s="195"/>
      <c r="I73" s="195"/>
      <c r="K73" s="4"/>
      <c r="L73" s="310"/>
      <c r="M73" s="310"/>
      <c r="N73" s="310"/>
      <c r="O73" s="310"/>
      <c r="P73" s="310"/>
      <c r="Q73" s="310"/>
      <c r="R73" s="310"/>
      <c r="S73" s="310"/>
    </row>
    <row r="74" spans="1:19" ht="15.75" x14ac:dyDescent="0.25">
      <c r="C74" s="30"/>
      <c r="K74" s="30"/>
      <c r="N74" s="30"/>
    </row>
    <row r="75" spans="1:19" ht="15.75" x14ac:dyDescent="0.25">
      <c r="A75" s="30"/>
      <c r="C75" s="30"/>
      <c r="K75" s="30"/>
      <c r="N75" s="30"/>
    </row>
    <row r="76" spans="1:19" ht="15.75" x14ac:dyDescent="0.25">
      <c r="A76" s="30"/>
      <c r="C76" s="30"/>
      <c r="K76" s="30"/>
      <c r="N76" s="30"/>
    </row>
    <row r="77" spans="1:19" x14ac:dyDescent="0.25">
      <c r="A77" s="3"/>
      <c r="B77" s="3"/>
      <c r="C77" s="3"/>
      <c r="D77" s="3"/>
      <c r="E77" s="4" t="s">
        <v>204</v>
      </c>
      <c r="F77" s="3"/>
      <c r="G77" s="3"/>
      <c r="H77" s="3"/>
      <c r="I77" s="3"/>
      <c r="K77" s="3"/>
      <c r="L77" s="3"/>
      <c r="M77" s="3"/>
      <c r="N77" s="3"/>
      <c r="O77" s="4" t="s">
        <v>204</v>
      </c>
      <c r="P77" s="3"/>
      <c r="Q77" s="3"/>
      <c r="R77" s="3"/>
      <c r="S77" s="3"/>
    </row>
    <row r="78" spans="1:19" x14ac:dyDescent="0.25">
      <c r="A78" s="3" t="s">
        <v>205</v>
      </c>
      <c r="B78" s="3"/>
      <c r="C78" s="3"/>
      <c r="D78" s="3" t="s">
        <v>338</v>
      </c>
      <c r="E78" s="3"/>
      <c r="F78" s="3"/>
      <c r="G78" s="3"/>
      <c r="H78" s="3"/>
      <c r="I78" s="3"/>
      <c r="K78" s="3" t="s">
        <v>205</v>
      </c>
      <c r="L78" s="3"/>
      <c r="M78" s="3"/>
      <c r="N78" s="3" t="s">
        <v>339</v>
      </c>
      <c r="O78" s="3"/>
      <c r="P78" s="3"/>
      <c r="Q78" s="3"/>
      <c r="R78" s="3"/>
      <c r="S78" s="3"/>
    </row>
    <row r="79" spans="1:19" x14ac:dyDescent="0.25">
      <c r="A79" s="3"/>
      <c r="B79" s="5" t="s">
        <v>440</v>
      </c>
      <c r="C79" s="3"/>
      <c r="D79" s="3"/>
      <c r="E79" s="3"/>
      <c r="F79" s="3"/>
      <c r="G79" s="3"/>
      <c r="H79" s="3"/>
      <c r="I79" s="3"/>
      <c r="J79" s="3"/>
      <c r="K79" s="3"/>
      <c r="L79" s="5" t="s">
        <v>440</v>
      </c>
      <c r="M79" s="3"/>
      <c r="N79" s="3"/>
      <c r="O79" s="3"/>
      <c r="P79" s="3"/>
      <c r="Q79" s="3"/>
      <c r="R79" s="3"/>
      <c r="S79" s="3"/>
    </row>
    <row r="80" spans="1:19" ht="15.75" thickBot="1" x14ac:dyDescent="0.3">
      <c r="A80" s="3"/>
      <c r="B80" s="5" t="s">
        <v>206</v>
      </c>
      <c r="C80" s="3"/>
      <c r="D80" s="3"/>
      <c r="E80" s="3"/>
      <c r="F80" s="3">
        <f>'[1]Ж-2'!$H$9</f>
        <v>6216.6</v>
      </c>
      <c r="G80" s="3" t="s">
        <v>207</v>
      </c>
      <c r="H80" s="3"/>
      <c r="I80" s="3"/>
      <c r="J80" s="3"/>
      <c r="K80" s="3"/>
      <c r="L80" s="5" t="s">
        <v>206</v>
      </c>
      <c r="M80" s="3"/>
      <c r="N80" s="3"/>
      <c r="O80" s="3"/>
      <c r="P80" s="3">
        <f>'[1]Ж-2'!$I$9</f>
        <v>6118.1</v>
      </c>
      <c r="Q80" s="3" t="s">
        <v>207</v>
      </c>
      <c r="R80" s="65"/>
      <c r="S80" s="3"/>
    </row>
    <row r="81" spans="1:19" ht="15" customHeight="1" x14ac:dyDescent="0.25">
      <c r="A81" s="175" t="s">
        <v>209</v>
      </c>
      <c r="B81" s="177" t="s">
        <v>210</v>
      </c>
      <c r="C81" s="178"/>
      <c r="D81" s="178"/>
      <c r="E81" s="178"/>
      <c r="F81" s="178"/>
      <c r="G81" s="180" t="s">
        <v>442</v>
      </c>
      <c r="H81" s="181"/>
      <c r="I81" s="175" t="s">
        <v>212</v>
      </c>
      <c r="J81" s="31"/>
      <c r="K81" s="175" t="s">
        <v>209</v>
      </c>
      <c r="L81" s="177" t="s">
        <v>210</v>
      </c>
      <c r="M81" s="178"/>
      <c r="N81" s="178"/>
      <c r="O81" s="178"/>
      <c r="P81" s="178"/>
      <c r="Q81" s="180" t="s">
        <v>442</v>
      </c>
      <c r="R81" s="181"/>
      <c r="S81" s="175" t="s">
        <v>212</v>
      </c>
    </row>
    <row r="82" spans="1:19" ht="75" customHeight="1" thickBot="1" x14ac:dyDescent="0.3">
      <c r="A82" s="176"/>
      <c r="B82" s="179"/>
      <c r="C82" s="179"/>
      <c r="D82" s="179"/>
      <c r="E82" s="179"/>
      <c r="F82" s="179"/>
      <c r="G82" s="182"/>
      <c r="H82" s="183"/>
      <c r="I82" s="184"/>
      <c r="J82" s="32"/>
      <c r="K82" s="176"/>
      <c r="L82" s="179"/>
      <c r="M82" s="179"/>
      <c r="N82" s="179"/>
      <c r="O82" s="179"/>
      <c r="P82" s="179"/>
      <c r="Q82" s="182"/>
      <c r="R82" s="183"/>
      <c r="S82" s="184"/>
    </row>
    <row r="83" spans="1:19" ht="15" customHeight="1" x14ac:dyDescent="0.25">
      <c r="A83" s="185" t="s">
        <v>213</v>
      </c>
      <c r="B83" s="187" t="s">
        <v>354</v>
      </c>
      <c r="C83" s="188"/>
      <c r="D83" s="188"/>
      <c r="E83" s="188"/>
      <c r="F83" s="188"/>
      <c r="G83" s="190">
        <v>186321.78</v>
      </c>
      <c r="H83" s="191"/>
      <c r="I83" s="192"/>
      <c r="J83" s="33"/>
      <c r="K83" s="185" t="s">
        <v>213</v>
      </c>
      <c r="L83" s="187" t="s">
        <v>354</v>
      </c>
      <c r="M83" s="188"/>
      <c r="N83" s="188"/>
      <c r="O83" s="188"/>
      <c r="P83" s="188"/>
      <c r="Q83" s="190">
        <v>66515.149999999994</v>
      </c>
      <c r="R83" s="191"/>
      <c r="S83" s="192"/>
    </row>
    <row r="84" spans="1:19" ht="5.25" customHeight="1" thickBot="1" x14ac:dyDescent="0.3">
      <c r="A84" s="186"/>
      <c r="B84" s="189"/>
      <c r="C84" s="189"/>
      <c r="D84" s="189"/>
      <c r="E84" s="189"/>
      <c r="F84" s="189"/>
      <c r="G84" s="193"/>
      <c r="H84" s="194"/>
      <c r="I84" s="128"/>
      <c r="J84" s="34"/>
      <c r="K84" s="186"/>
      <c r="L84" s="189"/>
      <c r="M84" s="189"/>
      <c r="N84" s="189"/>
      <c r="O84" s="189"/>
      <c r="P84" s="189"/>
      <c r="Q84" s="193"/>
      <c r="R84" s="194"/>
      <c r="S84" s="128"/>
    </row>
    <row r="85" spans="1:19" ht="15" customHeight="1" x14ac:dyDescent="0.25">
      <c r="A85" s="6"/>
      <c r="B85" s="161" t="s">
        <v>214</v>
      </c>
      <c r="C85" s="162"/>
      <c r="D85" s="162"/>
      <c r="E85" s="162"/>
      <c r="F85" s="162"/>
      <c r="G85" s="163">
        <f>1.94*12*F80</f>
        <v>144722.448</v>
      </c>
      <c r="H85" s="164"/>
      <c r="I85" s="169" t="s">
        <v>215</v>
      </c>
      <c r="J85" s="35"/>
      <c r="K85" s="6"/>
      <c r="L85" s="161" t="s">
        <v>214</v>
      </c>
      <c r="M85" s="162"/>
      <c r="N85" s="162"/>
      <c r="O85" s="162"/>
      <c r="P85" s="162"/>
      <c r="Q85" s="163">
        <f>1.95*12*P80</f>
        <v>143163.54</v>
      </c>
      <c r="R85" s="164"/>
      <c r="S85" s="169" t="s">
        <v>215</v>
      </c>
    </row>
    <row r="86" spans="1:19" ht="36.75" customHeight="1" thickBot="1" x14ac:dyDescent="0.3">
      <c r="A86" s="7"/>
      <c r="B86" s="171" t="s">
        <v>216</v>
      </c>
      <c r="C86" s="172"/>
      <c r="D86" s="172"/>
      <c r="E86" s="172"/>
      <c r="F86" s="172"/>
      <c r="G86" s="165"/>
      <c r="H86" s="166"/>
      <c r="I86" s="170"/>
      <c r="J86" s="36"/>
      <c r="K86" s="7"/>
      <c r="L86" s="171" t="s">
        <v>216</v>
      </c>
      <c r="M86" s="172"/>
      <c r="N86" s="172"/>
      <c r="O86" s="172"/>
      <c r="P86" s="172"/>
      <c r="Q86" s="165"/>
      <c r="R86" s="166"/>
      <c r="S86" s="170"/>
    </row>
    <row r="87" spans="1:19" ht="13.5" customHeight="1" thickBot="1" x14ac:dyDescent="0.3">
      <c r="A87" s="7"/>
      <c r="B87" s="173" t="s">
        <v>217</v>
      </c>
      <c r="C87" s="174"/>
      <c r="D87" s="174"/>
      <c r="E87" s="174"/>
      <c r="F87" s="174"/>
      <c r="G87" s="167"/>
      <c r="H87" s="168"/>
      <c r="I87" s="8" t="s">
        <v>218</v>
      </c>
      <c r="J87" s="36"/>
      <c r="K87" s="7"/>
      <c r="L87" s="173" t="s">
        <v>217</v>
      </c>
      <c r="M87" s="174"/>
      <c r="N87" s="174"/>
      <c r="O87" s="174"/>
      <c r="P87" s="174"/>
      <c r="Q87" s="167"/>
      <c r="R87" s="168"/>
      <c r="S87" s="8" t="s">
        <v>218</v>
      </c>
    </row>
    <row r="88" spans="1:19" ht="18.75" customHeight="1" thickBot="1" x14ac:dyDescent="0.3">
      <c r="A88" s="7"/>
      <c r="B88" s="141" t="s">
        <v>219</v>
      </c>
      <c r="C88" s="142"/>
      <c r="D88" s="142"/>
      <c r="E88" s="142"/>
      <c r="F88" s="142"/>
      <c r="G88" s="143">
        <v>0</v>
      </c>
      <c r="H88" s="144"/>
      <c r="I88" s="8" t="s">
        <v>220</v>
      </c>
      <c r="J88" s="37"/>
      <c r="K88" s="7"/>
      <c r="L88" s="141" t="s">
        <v>219</v>
      </c>
      <c r="M88" s="142"/>
      <c r="N88" s="142"/>
      <c r="O88" s="142"/>
      <c r="P88" s="142"/>
      <c r="Q88" s="143">
        <v>0</v>
      </c>
      <c r="R88" s="144"/>
      <c r="S88" s="8" t="s">
        <v>220</v>
      </c>
    </row>
    <row r="89" spans="1:19" ht="18.75" customHeight="1" thickBot="1" x14ac:dyDescent="0.3">
      <c r="A89" s="7"/>
      <c r="B89" s="141" t="s">
        <v>221</v>
      </c>
      <c r="C89" s="142"/>
      <c r="D89" s="142"/>
      <c r="E89" s="142"/>
      <c r="F89" s="142"/>
      <c r="G89" s="143">
        <f>0.474*12*F80</f>
        <v>35360.020799999998</v>
      </c>
      <c r="H89" s="144"/>
      <c r="I89" s="8" t="s">
        <v>222</v>
      </c>
      <c r="J89" s="38"/>
      <c r="K89" s="7"/>
      <c r="L89" s="141" t="s">
        <v>221</v>
      </c>
      <c r="M89" s="142"/>
      <c r="N89" s="142"/>
      <c r="O89" s="142"/>
      <c r="P89" s="142"/>
      <c r="Q89" s="143">
        <f>0.474*12*P80</f>
        <v>34799.752800000002</v>
      </c>
      <c r="R89" s="144"/>
      <c r="S89" s="8" t="s">
        <v>222</v>
      </c>
    </row>
    <row r="90" spans="1:19" ht="13.5" customHeight="1" x14ac:dyDescent="0.25">
      <c r="A90" s="9"/>
      <c r="B90" s="145" t="s">
        <v>223</v>
      </c>
      <c r="C90" s="146"/>
      <c r="D90" s="146"/>
      <c r="E90" s="146"/>
      <c r="F90" s="146"/>
      <c r="G90" s="86">
        <f>2.29*12*F80</f>
        <v>170832.16800000001</v>
      </c>
      <c r="H90" s="147"/>
      <c r="I90" s="152" t="s">
        <v>224</v>
      </c>
      <c r="J90" s="38"/>
      <c r="K90" s="9"/>
      <c r="L90" s="145" t="s">
        <v>223</v>
      </c>
      <c r="M90" s="146"/>
      <c r="N90" s="146"/>
      <c r="O90" s="146"/>
      <c r="P90" s="146"/>
      <c r="Q90" s="86">
        <f>2.19*12*P80</f>
        <v>160783.66800000001</v>
      </c>
      <c r="R90" s="147"/>
      <c r="S90" s="152" t="s">
        <v>224</v>
      </c>
    </row>
    <row r="91" spans="1:19" ht="13.5" customHeight="1" x14ac:dyDescent="0.25">
      <c r="A91" s="10"/>
      <c r="B91" s="155" t="s">
        <v>226</v>
      </c>
      <c r="C91" s="156"/>
      <c r="D91" s="156"/>
      <c r="E91" s="156"/>
      <c r="F91" s="156"/>
      <c r="G91" s="148"/>
      <c r="H91" s="149"/>
      <c r="I91" s="153"/>
      <c r="J91" s="39"/>
      <c r="K91" s="10"/>
      <c r="L91" s="155" t="s">
        <v>226</v>
      </c>
      <c r="M91" s="156"/>
      <c r="N91" s="156"/>
      <c r="O91" s="156"/>
      <c r="P91" s="156"/>
      <c r="Q91" s="148"/>
      <c r="R91" s="149"/>
      <c r="S91" s="153"/>
    </row>
    <row r="92" spans="1:19" ht="13.5" customHeight="1" thickBot="1" x14ac:dyDescent="0.3">
      <c r="A92" s="10"/>
      <c r="B92" s="157" t="s">
        <v>227</v>
      </c>
      <c r="C92" s="158"/>
      <c r="D92" s="158"/>
      <c r="E92" s="158"/>
      <c r="F92" s="158"/>
      <c r="G92" s="148"/>
      <c r="H92" s="149"/>
      <c r="I92" s="154"/>
      <c r="J92" s="36"/>
      <c r="K92" s="10"/>
      <c r="L92" s="157" t="s">
        <v>227</v>
      </c>
      <c r="M92" s="158"/>
      <c r="N92" s="158"/>
      <c r="O92" s="158"/>
      <c r="P92" s="158"/>
      <c r="Q92" s="148"/>
      <c r="R92" s="149"/>
      <c r="S92" s="154"/>
    </row>
    <row r="93" spans="1:19" ht="13.5" customHeight="1" thickBot="1" x14ac:dyDescent="0.3">
      <c r="A93" s="10"/>
      <c r="B93" s="159" t="s">
        <v>228</v>
      </c>
      <c r="C93" s="160"/>
      <c r="D93" s="160"/>
      <c r="E93" s="160"/>
      <c r="F93" s="160"/>
      <c r="G93" s="150"/>
      <c r="H93" s="151"/>
      <c r="I93" s="11" t="s">
        <v>229</v>
      </c>
      <c r="J93" s="36"/>
      <c r="K93" s="10"/>
      <c r="L93" s="159" t="s">
        <v>228</v>
      </c>
      <c r="M93" s="160"/>
      <c r="N93" s="160"/>
      <c r="O93" s="160"/>
      <c r="P93" s="160"/>
      <c r="Q93" s="150"/>
      <c r="R93" s="151"/>
      <c r="S93" s="11" t="s">
        <v>229</v>
      </c>
    </row>
    <row r="94" spans="1:19" ht="13.5" customHeight="1" x14ac:dyDescent="0.25">
      <c r="A94" s="12"/>
      <c r="B94" s="125" t="s">
        <v>230</v>
      </c>
      <c r="C94" s="126"/>
      <c r="D94" s="126"/>
      <c r="E94" s="126"/>
      <c r="F94" s="126"/>
      <c r="G94" s="86">
        <f>0.048*12*F80</f>
        <v>3580.7616000000007</v>
      </c>
      <c r="H94" s="87"/>
      <c r="I94" s="129" t="s">
        <v>220</v>
      </c>
      <c r="J94" s="36"/>
      <c r="K94" s="12"/>
      <c r="L94" s="125" t="s">
        <v>230</v>
      </c>
      <c r="M94" s="126"/>
      <c r="N94" s="126"/>
      <c r="O94" s="126"/>
      <c r="P94" s="126"/>
      <c r="Q94" s="86">
        <f>0.048*12*P80</f>
        <v>3524.0256000000008</v>
      </c>
      <c r="R94" s="87"/>
      <c r="S94" s="129" t="s">
        <v>220</v>
      </c>
    </row>
    <row r="95" spans="1:19" ht="13.5" customHeight="1" thickBot="1" x14ac:dyDescent="0.3">
      <c r="A95" s="7"/>
      <c r="B95" s="131" t="s">
        <v>231</v>
      </c>
      <c r="C95" s="132"/>
      <c r="D95" s="132"/>
      <c r="E95" s="132"/>
      <c r="F95" s="132"/>
      <c r="G95" s="127"/>
      <c r="H95" s="128"/>
      <c r="I95" s="130"/>
      <c r="J95" s="36"/>
      <c r="K95" s="7"/>
      <c r="L95" s="131" t="s">
        <v>231</v>
      </c>
      <c r="M95" s="132"/>
      <c r="N95" s="132"/>
      <c r="O95" s="132"/>
      <c r="P95" s="132"/>
      <c r="Q95" s="127"/>
      <c r="R95" s="128"/>
      <c r="S95" s="130"/>
    </row>
    <row r="96" spans="1:19" ht="13.5" customHeight="1" thickBot="1" x14ac:dyDescent="0.3">
      <c r="A96" s="13"/>
      <c r="B96" s="133" t="s">
        <v>232</v>
      </c>
      <c r="C96" s="134"/>
      <c r="D96" s="134"/>
      <c r="E96" s="134"/>
      <c r="F96" s="134"/>
      <c r="G96" s="135"/>
      <c r="H96" s="136"/>
      <c r="I96" s="14"/>
      <c r="J96" s="40"/>
      <c r="K96" s="13"/>
      <c r="L96" s="133" t="s">
        <v>232</v>
      </c>
      <c r="M96" s="134"/>
      <c r="N96" s="134"/>
      <c r="O96" s="134"/>
      <c r="P96" s="134"/>
      <c r="Q96" s="135"/>
      <c r="R96" s="136"/>
      <c r="S96" s="14"/>
    </row>
    <row r="97" spans="1:19" ht="15.75" customHeight="1" thickBot="1" x14ac:dyDescent="0.3">
      <c r="A97" s="13"/>
      <c r="B97" s="84" t="s">
        <v>233</v>
      </c>
      <c r="C97" s="85"/>
      <c r="D97" s="85"/>
      <c r="E97" s="85"/>
      <c r="F97" s="85"/>
      <c r="G97" s="86">
        <f>1.9*12*F80</f>
        <v>141738.47999999998</v>
      </c>
      <c r="H97" s="87"/>
      <c r="I97" s="317" t="s">
        <v>559</v>
      </c>
      <c r="J97" s="41"/>
      <c r="K97" s="13"/>
      <c r="L97" s="84" t="s">
        <v>233</v>
      </c>
      <c r="M97" s="85"/>
      <c r="N97" s="85"/>
      <c r="O97" s="85"/>
      <c r="P97" s="85"/>
      <c r="Q97" s="86">
        <f>1.67*12*P80</f>
        <v>122606.724</v>
      </c>
      <c r="R97" s="87"/>
      <c r="S97" s="317" t="s">
        <v>561</v>
      </c>
    </row>
    <row r="98" spans="1:19" ht="30.75" customHeight="1" x14ac:dyDescent="0.25">
      <c r="A98" s="118"/>
      <c r="B98" s="121" t="s">
        <v>226</v>
      </c>
      <c r="C98" s="122"/>
      <c r="D98" s="122"/>
      <c r="E98" s="122"/>
      <c r="F98" s="122"/>
      <c r="G98" s="88"/>
      <c r="H98" s="89"/>
      <c r="I98" s="318"/>
      <c r="J98" s="41"/>
      <c r="K98" s="118"/>
      <c r="L98" s="121" t="s">
        <v>226</v>
      </c>
      <c r="M98" s="122"/>
      <c r="N98" s="122"/>
      <c r="O98" s="122"/>
      <c r="P98" s="122"/>
      <c r="Q98" s="88"/>
      <c r="R98" s="89"/>
      <c r="S98" s="318"/>
    </row>
    <row r="99" spans="1:19" ht="41.25" customHeight="1" x14ac:dyDescent="0.25">
      <c r="A99" s="119"/>
      <c r="B99" s="121" t="s">
        <v>227</v>
      </c>
      <c r="C99" s="122"/>
      <c r="D99" s="122"/>
      <c r="E99" s="122"/>
      <c r="F99" s="122"/>
      <c r="G99" s="88"/>
      <c r="H99" s="89"/>
      <c r="I99" s="318"/>
      <c r="J99" s="41"/>
      <c r="K99" s="119"/>
      <c r="L99" s="121" t="s">
        <v>227</v>
      </c>
      <c r="M99" s="122"/>
      <c r="N99" s="122"/>
      <c r="O99" s="122"/>
      <c r="P99" s="122"/>
      <c r="Q99" s="88"/>
      <c r="R99" s="89"/>
      <c r="S99" s="318"/>
    </row>
    <row r="100" spans="1:19" ht="45.75" customHeight="1" x14ac:dyDescent="0.25">
      <c r="A100" s="119"/>
      <c r="B100" s="121" t="s">
        <v>228</v>
      </c>
      <c r="C100" s="122"/>
      <c r="D100" s="122"/>
      <c r="E100" s="122"/>
      <c r="F100" s="122"/>
      <c r="G100" s="88"/>
      <c r="H100" s="89"/>
      <c r="I100" s="318"/>
      <c r="J100" s="42"/>
      <c r="K100" s="119"/>
      <c r="L100" s="121" t="s">
        <v>228</v>
      </c>
      <c r="M100" s="122"/>
      <c r="N100" s="122"/>
      <c r="O100" s="122"/>
      <c r="P100" s="122"/>
      <c r="Q100" s="88"/>
      <c r="R100" s="89"/>
      <c r="S100" s="318"/>
    </row>
    <row r="101" spans="1:19" ht="74.25" customHeight="1" thickBot="1" x14ac:dyDescent="0.3">
      <c r="A101" s="120"/>
      <c r="B101" s="123" t="s">
        <v>234</v>
      </c>
      <c r="C101" s="124"/>
      <c r="D101" s="124"/>
      <c r="E101" s="124"/>
      <c r="F101" s="124"/>
      <c r="G101" s="90"/>
      <c r="H101" s="91"/>
      <c r="I101" s="319"/>
      <c r="J101" s="43"/>
      <c r="K101" s="120"/>
      <c r="L101" s="123" t="s">
        <v>234</v>
      </c>
      <c r="M101" s="124"/>
      <c r="N101" s="124"/>
      <c r="O101" s="124"/>
      <c r="P101" s="124"/>
      <c r="Q101" s="90"/>
      <c r="R101" s="91"/>
      <c r="S101" s="319"/>
    </row>
    <row r="102" spans="1:19" ht="4.5" customHeight="1" thickBot="1" x14ac:dyDescent="0.3">
      <c r="A102" s="15"/>
      <c r="B102" s="137"/>
      <c r="C102" s="138"/>
      <c r="D102" s="138"/>
      <c r="E102" s="138"/>
      <c r="F102" s="138"/>
      <c r="G102" s="139"/>
      <c r="H102" s="140"/>
      <c r="I102" s="16"/>
      <c r="J102" s="44"/>
      <c r="K102" s="15"/>
      <c r="L102" s="137"/>
      <c r="M102" s="138"/>
      <c r="N102" s="138"/>
      <c r="O102" s="138"/>
      <c r="P102" s="138"/>
      <c r="Q102" s="139"/>
      <c r="R102" s="140"/>
      <c r="S102" s="16"/>
    </row>
    <row r="103" spans="1:19" ht="30" hidden="1" customHeight="1" x14ac:dyDescent="0.25">
      <c r="A103" s="15"/>
      <c r="B103" s="137" t="s">
        <v>235</v>
      </c>
      <c r="C103" s="138"/>
      <c r="D103" s="138"/>
      <c r="E103" s="138"/>
      <c r="F103" s="138"/>
      <c r="G103" s="139"/>
      <c r="H103" s="140"/>
      <c r="I103" s="16"/>
      <c r="J103" s="40"/>
      <c r="K103" s="15"/>
      <c r="L103" s="137" t="s">
        <v>235</v>
      </c>
      <c r="M103" s="138"/>
      <c r="N103" s="138"/>
      <c r="O103" s="138"/>
      <c r="P103" s="138"/>
      <c r="Q103" s="139"/>
      <c r="R103" s="140"/>
      <c r="S103" s="16"/>
    </row>
    <row r="104" spans="1:19" ht="27.6" customHeight="1" thickBot="1" x14ac:dyDescent="0.3">
      <c r="A104" s="17"/>
      <c r="B104" s="78" t="s">
        <v>237</v>
      </c>
      <c r="C104" s="79"/>
      <c r="D104" s="79"/>
      <c r="E104" s="79"/>
      <c r="F104" s="79"/>
      <c r="G104" s="86">
        <v>7200</v>
      </c>
      <c r="H104" s="87"/>
      <c r="I104" s="108" t="s">
        <v>229</v>
      </c>
      <c r="J104" s="27"/>
      <c r="K104" s="17"/>
      <c r="L104" s="78" t="s">
        <v>237</v>
      </c>
      <c r="M104" s="79"/>
      <c r="N104" s="79"/>
      <c r="O104" s="79"/>
      <c r="P104" s="79"/>
      <c r="Q104" s="86">
        <v>7220</v>
      </c>
      <c r="R104" s="87"/>
      <c r="S104" s="108" t="s">
        <v>229</v>
      </c>
    </row>
    <row r="105" spans="1:19" ht="15" customHeight="1" thickBot="1" x14ac:dyDescent="0.3">
      <c r="A105" s="18"/>
      <c r="B105" s="110" t="s">
        <v>238</v>
      </c>
      <c r="C105" s="111"/>
      <c r="D105" s="111"/>
      <c r="E105" s="111"/>
      <c r="F105" s="111"/>
      <c r="G105" s="90"/>
      <c r="H105" s="91"/>
      <c r="I105" s="109"/>
      <c r="J105" s="45"/>
      <c r="K105" s="18"/>
      <c r="L105" s="110" t="s">
        <v>238</v>
      </c>
      <c r="M105" s="111"/>
      <c r="N105" s="111"/>
      <c r="O105" s="111"/>
      <c r="P105" s="111"/>
      <c r="Q105" s="90"/>
      <c r="R105" s="91"/>
      <c r="S105" s="109"/>
    </row>
    <row r="106" spans="1:19" ht="15" customHeight="1" thickBot="1" x14ac:dyDescent="0.3">
      <c r="A106" s="19"/>
      <c r="B106" s="112" t="s">
        <v>239</v>
      </c>
      <c r="C106" s="113"/>
      <c r="D106" s="113"/>
      <c r="E106" s="113"/>
      <c r="F106" s="113"/>
      <c r="G106" s="114">
        <f>SUM(G85:H105)</f>
        <v>503433.87839999999</v>
      </c>
      <c r="H106" s="115"/>
      <c r="I106" s="20"/>
      <c r="J106" s="46"/>
      <c r="K106" s="19"/>
      <c r="L106" s="112" t="s">
        <v>239</v>
      </c>
      <c r="M106" s="113"/>
      <c r="N106" s="113"/>
      <c r="O106" s="113"/>
      <c r="P106" s="113"/>
      <c r="Q106" s="114">
        <f>SUM(Q85:R105)</f>
        <v>472097.71039999998</v>
      </c>
      <c r="R106" s="115"/>
      <c r="S106" s="20"/>
    </row>
    <row r="107" spans="1:19" ht="18.75" customHeight="1" thickBot="1" x14ac:dyDescent="0.3">
      <c r="A107" s="21"/>
      <c r="B107" s="101" t="s">
        <v>240</v>
      </c>
      <c r="C107" s="102"/>
      <c r="D107" s="102"/>
      <c r="E107" s="102"/>
      <c r="F107" s="102"/>
      <c r="G107" s="116">
        <f>G106*1.2</f>
        <v>604120.65408000001</v>
      </c>
      <c r="H107" s="117"/>
      <c r="I107" s="22"/>
      <c r="J107" s="47"/>
      <c r="K107" s="21"/>
      <c r="L107" s="101" t="s">
        <v>240</v>
      </c>
      <c r="M107" s="102"/>
      <c r="N107" s="102"/>
      <c r="O107" s="102"/>
      <c r="P107" s="102"/>
      <c r="Q107" s="116">
        <f>Q106*1.2</f>
        <v>566517.25247999991</v>
      </c>
      <c r="R107" s="117"/>
      <c r="S107" s="22"/>
    </row>
    <row r="108" spans="1:19" ht="23.25" customHeight="1" thickBot="1" x14ac:dyDescent="0.3">
      <c r="A108" s="24"/>
      <c r="B108" s="96" t="s">
        <v>443</v>
      </c>
      <c r="C108" s="97"/>
      <c r="D108" s="97"/>
      <c r="E108" s="97"/>
      <c r="F108" s="97"/>
      <c r="G108" s="311">
        <v>617550.91</v>
      </c>
      <c r="H108" s="312"/>
      <c r="I108" s="313"/>
      <c r="J108" s="47"/>
      <c r="K108" s="24"/>
      <c r="L108" s="96" t="s">
        <v>443</v>
      </c>
      <c r="M108" s="97"/>
      <c r="N108" s="97"/>
      <c r="O108" s="97"/>
      <c r="P108" s="97"/>
      <c r="Q108" s="311">
        <v>565258.81000000006</v>
      </c>
      <c r="R108" s="312"/>
      <c r="S108" s="313"/>
    </row>
    <row r="109" spans="1:19" ht="23.25" customHeight="1" thickBot="1" x14ac:dyDescent="0.3">
      <c r="A109" s="19"/>
      <c r="B109" s="101" t="s">
        <v>242</v>
      </c>
      <c r="C109" s="102"/>
      <c r="D109" s="102"/>
      <c r="E109" s="102"/>
      <c r="F109" s="102"/>
      <c r="G109" s="307">
        <v>645820.68999999994</v>
      </c>
      <c r="H109" s="308"/>
      <c r="I109" s="309"/>
      <c r="J109" s="47"/>
      <c r="K109" s="19"/>
      <c r="L109" s="101" t="s">
        <v>242</v>
      </c>
      <c r="M109" s="102"/>
      <c r="N109" s="102"/>
      <c r="O109" s="102"/>
      <c r="P109" s="102"/>
      <c r="Q109" s="307">
        <v>566571.81000000006</v>
      </c>
      <c r="R109" s="308"/>
      <c r="S109" s="309"/>
    </row>
    <row r="110" spans="1:19" ht="23.25" customHeight="1" thickBot="1" x14ac:dyDescent="0.3">
      <c r="A110" s="19"/>
      <c r="B110" s="106" t="s">
        <v>444</v>
      </c>
      <c r="C110" s="107"/>
      <c r="D110" s="107"/>
      <c r="E110" s="107"/>
      <c r="F110" s="107"/>
      <c r="G110" s="282">
        <v>158052</v>
      </c>
      <c r="H110" s="336"/>
      <c r="I110" s="337"/>
      <c r="J110" s="47"/>
      <c r="K110" s="19"/>
      <c r="L110" s="106" t="s">
        <v>444</v>
      </c>
      <c r="M110" s="107"/>
      <c r="N110" s="107"/>
      <c r="O110" s="107"/>
      <c r="P110" s="107"/>
      <c r="Q110" s="307">
        <v>65202.15</v>
      </c>
      <c r="R110" s="308"/>
      <c r="S110" s="309"/>
    </row>
    <row r="111" spans="1:19" ht="31.5" customHeight="1" x14ac:dyDescent="0.25">
      <c r="A111" s="4"/>
      <c r="B111" s="310"/>
      <c r="C111" s="310"/>
      <c r="D111" s="310"/>
      <c r="E111" s="310"/>
      <c r="F111" s="310"/>
      <c r="G111" s="310"/>
      <c r="H111" s="310"/>
      <c r="I111" s="310"/>
      <c r="K111" s="4"/>
      <c r="L111" s="195" t="s">
        <v>560</v>
      </c>
      <c r="M111" s="195"/>
      <c r="N111" s="195"/>
      <c r="O111" s="195"/>
      <c r="P111" s="195"/>
      <c r="Q111" s="195"/>
      <c r="R111" s="195"/>
      <c r="S111" s="195"/>
    </row>
    <row r="112" spans="1:19" x14ac:dyDescent="0.25">
      <c r="E112" s="50"/>
      <c r="I112" s="5"/>
      <c r="O112" s="50"/>
      <c r="S112" s="5"/>
    </row>
    <row r="113" spans="1:19" ht="15.75" x14ac:dyDescent="0.25">
      <c r="B113" s="30"/>
      <c r="K113" s="30"/>
      <c r="L113" s="30"/>
    </row>
    <row r="114" spans="1:19" x14ac:dyDescent="0.25">
      <c r="A114" s="3"/>
      <c r="B114" s="3"/>
      <c r="C114" s="3"/>
      <c r="D114" s="3"/>
      <c r="E114" s="4" t="s">
        <v>204</v>
      </c>
      <c r="F114" s="3"/>
      <c r="G114" s="3"/>
      <c r="H114" s="3"/>
      <c r="I114" s="3"/>
      <c r="K114" s="3"/>
      <c r="L114" s="3"/>
      <c r="M114" s="3"/>
      <c r="N114" s="3"/>
      <c r="O114" s="4" t="s">
        <v>204</v>
      </c>
      <c r="P114" s="3"/>
      <c r="Q114" s="3"/>
      <c r="R114" s="3"/>
      <c r="S114" s="3"/>
    </row>
    <row r="115" spans="1:19" x14ac:dyDescent="0.25">
      <c r="A115" s="3" t="s">
        <v>205</v>
      </c>
      <c r="B115" s="3"/>
      <c r="C115" s="3"/>
      <c r="D115" s="3" t="s">
        <v>340</v>
      </c>
      <c r="E115" s="3"/>
      <c r="F115" s="3"/>
      <c r="G115" s="3"/>
      <c r="H115" s="3"/>
      <c r="I115" s="3"/>
      <c r="K115" s="3" t="s">
        <v>205</v>
      </c>
      <c r="L115" s="3"/>
      <c r="M115" s="3"/>
      <c r="N115" s="3" t="s">
        <v>341</v>
      </c>
      <c r="O115" s="3"/>
      <c r="P115" s="3"/>
      <c r="Q115" s="3"/>
      <c r="R115" s="3"/>
      <c r="S115" s="3"/>
    </row>
    <row r="116" spans="1:19" x14ac:dyDescent="0.25">
      <c r="A116" s="3"/>
      <c r="B116" s="5" t="s">
        <v>440</v>
      </c>
      <c r="C116" s="3"/>
      <c r="D116" s="3"/>
      <c r="E116" s="3"/>
      <c r="F116" s="3"/>
      <c r="G116" s="3"/>
      <c r="H116" s="3"/>
      <c r="I116" s="3"/>
      <c r="K116" s="3"/>
      <c r="L116" s="5" t="s">
        <v>440</v>
      </c>
      <c r="M116" s="3"/>
      <c r="N116" s="3"/>
      <c r="O116" s="3"/>
      <c r="P116" s="3"/>
      <c r="Q116" s="3"/>
      <c r="R116" s="3"/>
      <c r="S116" s="3"/>
    </row>
    <row r="117" spans="1:19" ht="15.75" thickBot="1" x14ac:dyDescent="0.3">
      <c r="A117" s="3"/>
      <c r="B117" s="5" t="s">
        <v>206</v>
      </c>
      <c r="C117" s="3"/>
      <c r="D117" s="3"/>
      <c r="E117" s="3"/>
      <c r="F117" s="3">
        <f>'[1]Ж-2'!$J$9</f>
        <v>4003</v>
      </c>
      <c r="G117" s="3" t="s">
        <v>207</v>
      </c>
      <c r="H117" s="65"/>
      <c r="I117" s="3"/>
      <c r="J117" s="3"/>
      <c r="K117" s="3"/>
      <c r="L117" s="5" t="s">
        <v>206</v>
      </c>
      <c r="M117" s="3"/>
      <c r="N117" s="3"/>
      <c r="O117" s="3"/>
      <c r="P117" s="3">
        <f>'[1]Ж-2'!$K$9</f>
        <v>6147</v>
      </c>
      <c r="Q117" s="3" t="s">
        <v>207</v>
      </c>
      <c r="R117" s="3"/>
      <c r="S117" s="3"/>
    </row>
    <row r="118" spans="1:19" ht="15.75" customHeight="1" thickBot="1" x14ac:dyDescent="0.3">
      <c r="A118" s="175" t="s">
        <v>209</v>
      </c>
      <c r="B118" s="177" t="s">
        <v>210</v>
      </c>
      <c r="C118" s="178"/>
      <c r="D118" s="178"/>
      <c r="E118" s="178"/>
      <c r="F118" s="178"/>
      <c r="G118" s="180" t="s">
        <v>442</v>
      </c>
      <c r="H118" s="181"/>
      <c r="I118" s="175" t="s">
        <v>212</v>
      </c>
      <c r="J118" s="3"/>
      <c r="K118" s="175" t="s">
        <v>209</v>
      </c>
      <c r="L118" s="177" t="s">
        <v>210</v>
      </c>
      <c r="M118" s="178"/>
      <c r="N118" s="178"/>
      <c r="O118" s="178"/>
      <c r="P118" s="178"/>
      <c r="Q118" s="180" t="s">
        <v>442</v>
      </c>
      <c r="R118" s="181"/>
      <c r="S118" s="175" t="s">
        <v>212</v>
      </c>
    </row>
    <row r="119" spans="1:19" ht="68.25" customHeight="1" thickBot="1" x14ac:dyDescent="0.3">
      <c r="A119" s="176"/>
      <c r="B119" s="179"/>
      <c r="C119" s="179"/>
      <c r="D119" s="179"/>
      <c r="E119" s="179"/>
      <c r="F119" s="179"/>
      <c r="G119" s="182"/>
      <c r="H119" s="183"/>
      <c r="I119" s="184"/>
      <c r="J119" s="31"/>
      <c r="K119" s="176"/>
      <c r="L119" s="179"/>
      <c r="M119" s="179"/>
      <c r="N119" s="179"/>
      <c r="O119" s="179"/>
      <c r="P119" s="179"/>
      <c r="Q119" s="182"/>
      <c r="R119" s="183"/>
      <c r="S119" s="184"/>
    </row>
    <row r="120" spans="1:19" ht="21.75" customHeight="1" thickBot="1" x14ac:dyDescent="0.3">
      <c r="A120" s="185" t="s">
        <v>213</v>
      </c>
      <c r="B120" s="187" t="s">
        <v>354</v>
      </c>
      <c r="C120" s="188"/>
      <c r="D120" s="188"/>
      <c r="E120" s="188"/>
      <c r="F120" s="188"/>
      <c r="G120" s="190">
        <v>59038.38</v>
      </c>
      <c r="H120" s="191"/>
      <c r="I120" s="192"/>
      <c r="J120" s="32"/>
      <c r="K120" s="185" t="s">
        <v>213</v>
      </c>
      <c r="L120" s="187" t="s">
        <v>354</v>
      </c>
      <c r="M120" s="188"/>
      <c r="N120" s="188"/>
      <c r="O120" s="188"/>
      <c r="P120" s="188"/>
      <c r="Q120" s="190">
        <v>128521.65</v>
      </c>
      <c r="R120" s="191"/>
      <c r="S120" s="192"/>
    </row>
    <row r="121" spans="1:19" ht="15.75" hidden="1" customHeight="1" x14ac:dyDescent="0.25">
      <c r="A121" s="186"/>
      <c r="B121" s="189"/>
      <c r="C121" s="189"/>
      <c r="D121" s="189"/>
      <c r="E121" s="189"/>
      <c r="F121" s="189"/>
      <c r="G121" s="193"/>
      <c r="H121" s="194"/>
      <c r="I121" s="128"/>
      <c r="J121" s="33"/>
      <c r="K121" s="186"/>
      <c r="L121" s="189"/>
      <c r="M121" s="189"/>
      <c r="N121" s="189"/>
      <c r="O121" s="189"/>
      <c r="P121" s="189"/>
      <c r="Q121" s="193"/>
      <c r="R121" s="194"/>
      <c r="S121" s="128"/>
    </row>
    <row r="122" spans="1:19" ht="16.5" customHeight="1" x14ac:dyDescent="0.25">
      <c r="A122" s="6"/>
      <c r="B122" s="161" t="s">
        <v>214</v>
      </c>
      <c r="C122" s="162"/>
      <c r="D122" s="162"/>
      <c r="E122" s="162"/>
      <c r="F122" s="162"/>
      <c r="G122" s="163">
        <f>1.7*12*F117</f>
        <v>81661.2</v>
      </c>
      <c r="H122" s="164"/>
      <c r="I122" s="169" t="s">
        <v>215</v>
      </c>
      <c r="J122" s="36"/>
      <c r="K122" s="6"/>
      <c r="L122" s="161" t="s">
        <v>214</v>
      </c>
      <c r="M122" s="162"/>
      <c r="N122" s="162"/>
      <c r="O122" s="162"/>
      <c r="P122" s="162"/>
      <c r="Q122" s="163">
        <f>1.65*12*P117</f>
        <v>121710.59999999998</v>
      </c>
      <c r="R122" s="164"/>
      <c r="S122" s="169" t="s">
        <v>215</v>
      </c>
    </row>
    <row r="123" spans="1:19" ht="33" customHeight="1" thickBot="1" x14ac:dyDescent="0.3">
      <c r="A123" s="7"/>
      <c r="B123" s="171" t="s">
        <v>216</v>
      </c>
      <c r="C123" s="172"/>
      <c r="D123" s="172"/>
      <c r="E123" s="172"/>
      <c r="F123" s="172"/>
      <c r="G123" s="165"/>
      <c r="H123" s="166"/>
      <c r="I123" s="170"/>
      <c r="J123" s="35"/>
      <c r="K123" s="7"/>
      <c r="L123" s="171" t="s">
        <v>216</v>
      </c>
      <c r="M123" s="172"/>
      <c r="N123" s="172"/>
      <c r="O123" s="172"/>
      <c r="P123" s="172"/>
      <c r="Q123" s="165"/>
      <c r="R123" s="166"/>
      <c r="S123" s="170"/>
    </row>
    <row r="124" spans="1:19" ht="13.5" customHeight="1" thickBot="1" x14ac:dyDescent="0.3">
      <c r="A124" s="7"/>
      <c r="B124" s="173" t="s">
        <v>217</v>
      </c>
      <c r="C124" s="174"/>
      <c r="D124" s="174"/>
      <c r="E124" s="174"/>
      <c r="F124" s="174"/>
      <c r="G124" s="167"/>
      <c r="H124" s="168"/>
      <c r="I124" s="8" t="s">
        <v>218</v>
      </c>
      <c r="J124" s="36"/>
      <c r="K124" s="7"/>
      <c r="L124" s="173" t="s">
        <v>217</v>
      </c>
      <c r="M124" s="174"/>
      <c r="N124" s="174"/>
      <c r="O124" s="174"/>
      <c r="P124" s="174"/>
      <c r="Q124" s="167"/>
      <c r="R124" s="168"/>
      <c r="S124" s="8" t="s">
        <v>218</v>
      </c>
    </row>
    <row r="125" spans="1:19" ht="17.25" customHeight="1" thickBot="1" x14ac:dyDescent="0.3">
      <c r="A125" s="7"/>
      <c r="B125" s="141" t="s">
        <v>219</v>
      </c>
      <c r="C125" s="142"/>
      <c r="D125" s="142"/>
      <c r="E125" s="142"/>
      <c r="F125" s="142"/>
      <c r="G125" s="143">
        <f>1748.85*2*12</f>
        <v>41972.399999999994</v>
      </c>
      <c r="H125" s="144"/>
      <c r="I125" s="8" t="s">
        <v>220</v>
      </c>
      <c r="J125" s="36"/>
      <c r="K125" s="7"/>
      <c r="L125" s="141" t="s">
        <v>219</v>
      </c>
      <c r="M125" s="142"/>
      <c r="N125" s="142"/>
      <c r="O125" s="142"/>
      <c r="P125" s="142"/>
      <c r="Q125" s="143">
        <v>0</v>
      </c>
      <c r="R125" s="144"/>
      <c r="S125" s="8" t="s">
        <v>220</v>
      </c>
    </row>
    <row r="126" spans="1:19" ht="17.25" customHeight="1" thickBot="1" x14ac:dyDescent="0.3">
      <c r="A126" s="7"/>
      <c r="B126" s="141" t="s">
        <v>221</v>
      </c>
      <c r="C126" s="142"/>
      <c r="D126" s="142"/>
      <c r="E126" s="142"/>
      <c r="F126" s="142"/>
      <c r="G126" s="143">
        <f>0.474*12*F117</f>
        <v>22769.063999999998</v>
      </c>
      <c r="H126" s="144"/>
      <c r="I126" s="8" t="s">
        <v>222</v>
      </c>
      <c r="J126" s="37"/>
      <c r="K126" s="7"/>
      <c r="L126" s="141" t="s">
        <v>221</v>
      </c>
      <c r="M126" s="142"/>
      <c r="N126" s="142"/>
      <c r="O126" s="142"/>
      <c r="P126" s="142"/>
      <c r="Q126" s="143">
        <f>0.474*12*P117</f>
        <v>34964.135999999999</v>
      </c>
      <c r="R126" s="144"/>
      <c r="S126" s="8" t="s">
        <v>222</v>
      </c>
    </row>
    <row r="127" spans="1:19" ht="13.5" customHeight="1" x14ac:dyDescent="0.25">
      <c r="A127" s="9"/>
      <c r="B127" s="145" t="s">
        <v>223</v>
      </c>
      <c r="C127" s="146"/>
      <c r="D127" s="146"/>
      <c r="E127" s="146"/>
      <c r="F127" s="146"/>
      <c r="G127" s="86">
        <f>1.69*12*F117</f>
        <v>81180.840000000011</v>
      </c>
      <c r="H127" s="147"/>
      <c r="I127" s="152" t="s">
        <v>224</v>
      </c>
      <c r="J127" s="38"/>
      <c r="K127" s="9"/>
      <c r="L127" s="145" t="s">
        <v>223</v>
      </c>
      <c r="M127" s="146"/>
      <c r="N127" s="146"/>
      <c r="O127" s="146"/>
      <c r="P127" s="146"/>
      <c r="Q127" s="86">
        <f>2.12*12*P117</f>
        <v>156379.68000000002</v>
      </c>
      <c r="R127" s="147"/>
      <c r="S127" s="152" t="s">
        <v>224</v>
      </c>
    </row>
    <row r="128" spans="1:19" ht="13.5" customHeight="1" x14ac:dyDescent="0.25">
      <c r="A128" s="10"/>
      <c r="B128" s="155" t="s">
        <v>226</v>
      </c>
      <c r="C128" s="156"/>
      <c r="D128" s="156"/>
      <c r="E128" s="156"/>
      <c r="F128" s="156"/>
      <c r="G128" s="148"/>
      <c r="H128" s="149"/>
      <c r="I128" s="153"/>
      <c r="J128" s="38"/>
      <c r="K128" s="10"/>
      <c r="L128" s="155" t="s">
        <v>226</v>
      </c>
      <c r="M128" s="156"/>
      <c r="N128" s="156"/>
      <c r="O128" s="156"/>
      <c r="P128" s="156"/>
      <c r="Q128" s="148"/>
      <c r="R128" s="149"/>
      <c r="S128" s="153"/>
    </row>
    <row r="129" spans="1:19" ht="13.5" customHeight="1" thickBot="1" x14ac:dyDescent="0.3">
      <c r="A129" s="10"/>
      <c r="B129" s="157" t="s">
        <v>227</v>
      </c>
      <c r="C129" s="158"/>
      <c r="D129" s="158"/>
      <c r="E129" s="158"/>
      <c r="F129" s="158"/>
      <c r="G129" s="148"/>
      <c r="H129" s="149"/>
      <c r="I129" s="154"/>
      <c r="J129" s="39"/>
      <c r="K129" s="10"/>
      <c r="L129" s="157" t="s">
        <v>227</v>
      </c>
      <c r="M129" s="158"/>
      <c r="N129" s="158"/>
      <c r="O129" s="158"/>
      <c r="P129" s="158"/>
      <c r="Q129" s="148"/>
      <c r="R129" s="149"/>
      <c r="S129" s="154"/>
    </row>
    <row r="130" spans="1:19" ht="13.5" customHeight="1" thickBot="1" x14ac:dyDescent="0.3">
      <c r="A130" s="10"/>
      <c r="B130" s="159" t="s">
        <v>228</v>
      </c>
      <c r="C130" s="160"/>
      <c r="D130" s="160"/>
      <c r="E130" s="160"/>
      <c r="F130" s="160"/>
      <c r="G130" s="150"/>
      <c r="H130" s="151"/>
      <c r="I130" s="11" t="s">
        <v>229</v>
      </c>
      <c r="J130" s="36"/>
      <c r="K130" s="10"/>
      <c r="L130" s="159" t="s">
        <v>228</v>
      </c>
      <c r="M130" s="160"/>
      <c r="N130" s="160"/>
      <c r="O130" s="160"/>
      <c r="P130" s="160"/>
      <c r="Q130" s="150"/>
      <c r="R130" s="151"/>
      <c r="S130" s="11" t="s">
        <v>229</v>
      </c>
    </row>
    <row r="131" spans="1:19" ht="13.5" customHeight="1" x14ac:dyDescent="0.25">
      <c r="A131" s="12"/>
      <c r="B131" s="125" t="s">
        <v>230</v>
      </c>
      <c r="C131" s="126"/>
      <c r="D131" s="126"/>
      <c r="E131" s="126"/>
      <c r="F131" s="126"/>
      <c r="G131" s="86">
        <f>0.048*12*F117</f>
        <v>2305.7280000000001</v>
      </c>
      <c r="H131" s="87"/>
      <c r="I131" s="129" t="s">
        <v>220</v>
      </c>
      <c r="J131" s="36"/>
      <c r="K131" s="12"/>
      <c r="L131" s="125" t="s">
        <v>230</v>
      </c>
      <c r="M131" s="126"/>
      <c r="N131" s="126"/>
      <c r="O131" s="126"/>
      <c r="P131" s="126"/>
      <c r="Q131" s="86">
        <f>0.048*12*P117</f>
        <v>3540.6720000000005</v>
      </c>
      <c r="R131" s="87"/>
      <c r="S131" s="129" t="s">
        <v>220</v>
      </c>
    </row>
    <row r="132" spans="1:19" ht="13.5" customHeight="1" thickBot="1" x14ac:dyDescent="0.3">
      <c r="A132" s="7"/>
      <c r="B132" s="131" t="s">
        <v>231</v>
      </c>
      <c r="C132" s="132"/>
      <c r="D132" s="132"/>
      <c r="E132" s="132"/>
      <c r="F132" s="132"/>
      <c r="G132" s="127"/>
      <c r="H132" s="128"/>
      <c r="I132" s="130"/>
      <c r="J132" s="36"/>
      <c r="K132" s="7"/>
      <c r="L132" s="131" t="s">
        <v>231</v>
      </c>
      <c r="M132" s="132"/>
      <c r="N132" s="132"/>
      <c r="O132" s="132"/>
      <c r="P132" s="132"/>
      <c r="Q132" s="127"/>
      <c r="R132" s="128"/>
      <c r="S132" s="130"/>
    </row>
    <row r="133" spans="1:19" ht="15.75" customHeight="1" thickBot="1" x14ac:dyDescent="0.3">
      <c r="A133" s="13"/>
      <c r="B133" s="133" t="s">
        <v>232</v>
      </c>
      <c r="C133" s="134"/>
      <c r="D133" s="134"/>
      <c r="E133" s="134"/>
      <c r="F133" s="134"/>
      <c r="G133" s="135"/>
      <c r="H133" s="136"/>
      <c r="I133" s="14"/>
      <c r="J133" s="36"/>
      <c r="K133" s="13"/>
      <c r="L133" s="133" t="s">
        <v>232</v>
      </c>
      <c r="M133" s="134"/>
      <c r="N133" s="134"/>
      <c r="O133" s="134"/>
      <c r="P133" s="134"/>
      <c r="Q133" s="135"/>
      <c r="R133" s="136"/>
      <c r="S133" s="14"/>
    </row>
    <row r="134" spans="1:19" ht="15.75" customHeight="1" thickBot="1" x14ac:dyDescent="0.3">
      <c r="A134" s="13"/>
      <c r="B134" s="84" t="s">
        <v>233</v>
      </c>
      <c r="C134" s="85"/>
      <c r="D134" s="85"/>
      <c r="E134" s="85"/>
      <c r="F134" s="85"/>
      <c r="G134" s="86">
        <f>1.22*12*F117</f>
        <v>58603.920000000006</v>
      </c>
      <c r="H134" s="87"/>
      <c r="I134" s="92" t="s">
        <v>563</v>
      </c>
      <c r="J134" s="41"/>
      <c r="K134" s="13"/>
      <c r="L134" s="84" t="s">
        <v>233</v>
      </c>
      <c r="M134" s="85"/>
      <c r="N134" s="85"/>
      <c r="O134" s="85"/>
      <c r="P134" s="85"/>
      <c r="Q134" s="86">
        <f>1.5*12*P117</f>
        <v>110646</v>
      </c>
      <c r="R134" s="87"/>
      <c r="S134" s="92" t="s">
        <v>565</v>
      </c>
    </row>
    <row r="135" spans="1:19" ht="24.6" customHeight="1" x14ac:dyDescent="0.25">
      <c r="A135" s="118"/>
      <c r="B135" s="121" t="s">
        <v>226</v>
      </c>
      <c r="C135" s="122"/>
      <c r="D135" s="122"/>
      <c r="E135" s="122"/>
      <c r="F135" s="122"/>
      <c r="G135" s="88"/>
      <c r="H135" s="89"/>
      <c r="I135" s="93"/>
      <c r="J135" s="41"/>
      <c r="K135" s="118"/>
      <c r="L135" s="121" t="s">
        <v>226</v>
      </c>
      <c r="M135" s="122"/>
      <c r="N135" s="122"/>
      <c r="O135" s="122"/>
      <c r="P135" s="122"/>
      <c r="Q135" s="88"/>
      <c r="R135" s="89"/>
      <c r="S135" s="93"/>
    </row>
    <row r="136" spans="1:19" ht="36" customHeight="1" x14ac:dyDescent="0.25">
      <c r="A136" s="119"/>
      <c r="B136" s="121" t="s">
        <v>227</v>
      </c>
      <c r="C136" s="122"/>
      <c r="D136" s="122"/>
      <c r="E136" s="122"/>
      <c r="F136" s="122"/>
      <c r="G136" s="88"/>
      <c r="H136" s="89"/>
      <c r="I136" s="93"/>
      <c r="J136" s="41"/>
      <c r="K136" s="119"/>
      <c r="L136" s="121" t="s">
        <v>227</v>
      </c>
      <c r="M136" s="122"/>
      <c r="N136" s="122"/>
      <c r="O136" s="122"/>
      <c r="P136" s="122"/>
      <c r="Q136" s="88"/>
      <c r="R136" s="89"/>
      <c r="S136" s="93"/>
    </row>
    <row r="137" spans="1:19" ht="42" customHeight="1" x14ac:dyDescent="0.25">
      <c r="A137" s="119"/>
      <c r="B137" s="121" t="s">
        <v>228</v>
      </c>
      <c r="C137" s="122"/>
      <c r="D137" s="122"/>
      <c r="E137" s="122"/>
      <c r="F137" s="122"/>
      <c r="G137" s="88"/>
      <c r="H137" s="89"/>
      <c r="I137" s="93"/>
      <c r="J137" s="42"/>
      <c r="K137" s="119"/>
      <c r="L137" s="121" t="s">
        <v>228</v>
      </c>
      <c r="M137" s="122"/>
      <c r="N137" s="122"/>
      <c r="O137" s="122"/>
      <c r="P137" s="122"/>
      <c r="Q137" s="88"/>
      <c r="R137" s="89"/>
      <c r="S137" s="93"/>
    </row>
    <row r="138" spans="1:19" ht="39.950000000000003" customHeight="1" thickBot="1" x14ac:dyDescent="0.3">
      <c r="A138" s="120"/>
      <c r="B138" s="123" t="s">
        <v>234</v>
      </c>
      <c r="C138" s="124"/>
      <c r="D138" s="124"/>
      <c r="E138" s="124"/>
      <c r="F138" s="124"/>
      <c r="G138" s="90"/>
      <c r="H138" s="91"/>
      <c r="I138" s="94"/>
      <c r="J138" s="43"/>
      <c r="K138" s="120"/>
      <c r="L138" s="123" t="s">
        <v>234</v>
      </c>
      <c r="M138" s="124"/>
      <c r="N138" s="124"/>
      <c r="O138" s="124"/>
      <c r="P138" s="124"/>
      <c r="Q138" s="90"/>
      <c r="R138" s="91"/>
      <c r="S138" s="94"/>
    </row>
    <row r="139" spans="1:19" ht="4.5" hidden="1" customHeight="1" x14ac:dyDescent="0.25">
      <c r="A139" s="15"/>
      <c r="B139" s="137"/>
      <c r="C139" s="138"/>
      <c r="D139" s="138"/>
      <c r="E139" s="138"/>
      <c r="F139" s="138"/>
      <c r="G139" s="139"/>
      <c r="H139" s="140"/>
      <c r="I139" s="16"/>
      <c r="J139" s="44"/>
      <c r="K139" s="15"/>
      <c r="L139" s="137"/>
      <c r="M139" s="138"/>
      <c r="N139" s="138"/>
      <c r="O139" s="138"/>
      <c r="P139" s="138"/>
      <c r="Q139" s="139"/>
      <c r="R139" s="140"/>
      <c r="S139" s="16"/>
    </row>
    <row r="140" spans="1:19" ht="30" hidden="1" customHeight="1" x14ac:dyDescent="0.25">
      <c r="A140" s="15"/>
      <c r="B140" s="137" t="s">
        <v>235</v>
      </c>
      <c r="C140" s="138"/>
      <c r="D140" s="138"/>
      <c r="E140" s="138"/>
      <c r="F140" s="138"/>
      <c r="G140" s="139"/>
      <c r="H140" s="140"/>
      <c r="I140" s="16"/>
      <c r="J140" s="40"/>
      <c r="K140" s="15"/>
      <c r="L140" s="137" t="s">
        <v>235</v>
      </c>
      <c r="M140" s="138"/>
      <c r="N140" s="138"/>
      <c r="O140" s="138"/>
      <c r="P140" s="138"/>
      <c r="Q140" s="139"/>
      <c r="R140" s="140"/>
      <c r="S140" s="16"/>
    </row>
    <row r="141" spans="1:19" ht="30.75" customHeight="1" thickBot="1" x14ac:dyDescent="0.3">
      <c r="A141" s="17"/>
      <c r="B141" s="78" t="s">
        <v>237</v>
      </c>
      <c r="C141" s="79"/>
      <c r="D141" s="79"/>
      <c r="E141" s="79"/>
      <c r="F141" s="79"/>
      <c r="G141" s="86">
        <f>10327+4207</f>
        <v>14534</v>
      </c>
      <c r="H141" s="87"/>
      <c r="I141" s="108" t="s">
        <v>229</v>
      </c>
      <c r="J141" s="62"/>
      <c r="K141" s="17"/>
      <c r="L141" s="78" t="s">
        <v>237</v>
      </c>
      <c r="M141" s="79"/>
      <c r="N141" s="79"/>
      <c r="O141" s="79"/>
      <c r="P141" s="79"/>
      <c r="Q141" s="86">
        <v>7075</v>
      </c>
      <c r="R141" s="87"/>
      <c r="S141" s="108" t="s">
        <v>229</v>
      </c>
    </row>
    <row r="142" spans="1:19" ht="18.75" customHeight="1" thickBot="1" x14ac:dyDescent="0.3">
      <c r="A142" s="18"/>
      <c r="B142" s="110" t="s">
        <v>238</v>
      </c>
      <c r="C142" s="111"/>
      <c r="D142" s="111"/>
      <c r="E142" s="111"/>
      <c r="F142" s="111"/>
      <c r="G142" s="90"/>
      <c r="H142" s="91"/>
      <c r="I142" s="109"/>
      <c r="J142" s="46"/>
      <c r="K142" s="18"/>
      <c r="L142" s="110" t="s">
        <v>238</v>
      </c>
      <c r="M142" s="111"/>
      <c r="N142" s="111"/>
      <c r="O142" s="111"/>
      <c r="P142" s="111"/>
      <c r="Q142" s="90"/>
      <c r="R142" s="91"/>
      <c r="S142" s="109"/>
    </row>
    <row r="143" spans="1:19" ht="15.75" customHeight="1" thickBot="1" x14ac:dyDescent="0.3">
      <c r="A143" s="19"/>
      <c r="B143" s="112" t="s">
        <v>239</v>
      </c>
      <c r="C143" s="113"/>
      <c r="D143" s="113"/>
      <c r="E143" s="113"/>
      <c r="F143" s="113"/>
      <c r="G143" s="114">
        <f>SUM(G122:H142)</f>
        <v>303027.152</v>
      </c>
      <c r="H143" s="115"/>
      <c r="I143" s="20"/>
      <c r="J143" s="47"/>
      <c r="K143" s="19"/>
      <c r="L143" s="112" t="s">
        <v>239</v>
      </c>
      <c r="M143" s="113"/>
      <c r="N143" s="113"/>
      <c r="O143" s="113"/>
      <c r="P143" s="113"/>
      <c r="Q143" s="114">
        <f>SUM(Q122:R142)</f>
        <v>434316.08799999999</v>
      </c>
      <c r="R143" s="115"/>
      <c r="S143" s="20"/>
    </row>
    <row r="144" spans="1:19" ht="24" customHeight="1" thickBot="1" x14ac:dyDescent="0.3">
      <c r="A144" s="21"/>
      <c r="B144" s="101" t="s">
        <v>240</v>
      </c>
      <c r="C144" s="102"/>
      <c r="D144" s="102"/>
      <c r="E144" s="102"/>
      <c r="F144" s="102"/>
      <c r="G144" s="116">
        <f>G143*1.2</f>
        <v>363632.58240000001</v>
      </c>
      <c r="H144" s="117"/>
      <c r="I144" s="22"/>
      <c r="J144" s="47"/>
      <c r="K144" s="21"/>
      <c r="L144" s="101" t="s">
        <v>240</v>
      </c>
      <c r="M144" s="102"/>
      <c r="N144" s="102"/>
      <c r="O144" s="102"/>
      <c r="P144" s="102"/>
      <c r="Q144" s="116">
        <f>Q143*1.2</f>
        <v>521179.30559999996</v>
      </c>
      <c r="R144" s="117"/>
      <c r="S144" s="22"/>
    </row>
    <row r="145" spans="1:19" ht="24" customHeight="1" thickBot="1" x14ac:dyDescent="0.3">
      <c r="A145" s="24"/>
      <c r="B145" s="96" t="s">
        <v>443</v>
      </c>
      <c r="C145" s="97"/>
      <c r="D145" s="97"/>
      <c r="E145" s="97"/>
      <c r="F145" s="97"/>
      <c r="G145" s="311">
        <v>363377.18</v>
      </c>
      <c r="H145" s="312"/>
      <c r="I145" s="313"/>
      <c r="J145" s="47"/>
      <c r="K145" s="24"/>
      <c r="L145" s="96" t="s">
        <v>443</v>
      </c>
      <c r="M145" s="97"/>
      <c r="N145" s="97"/>
      <c r="O145" s="97"/>
      <c r="P145" s="97"/>
      <c r="Q145" s="311">
        <v>529645.38</v>
      </c>
      <c r="R145" s="312"/>
      <c r="S145" s="313"/>
    </row>
    <row r="146" spans="1:19" ht="24" customHeight="1" thickBot="1" x14ac:dyDescent="0.3">
      <c r="A146" s="19"/>
      <c r="B146" s="101" t="s">
        <v>242</v>
      </c>
      <c r="C146" s="102"/>
      <c r="D146" s="102"/>
      <c r="E146" s="102"/>
      <c r="F146" s="102"/>
      <c r="G146" s="307">
        <v>366280.16</v>
      </c>
      <c r="H146" s="308"/>
      <c r="I146" s="309"/>
      <c r="J146" s="48"/>
      <c r="K146" s="19"/>
      <c r="L146" s="101" t="s">
        <v>242</v>
      </c>
      <c r="M146" s="102"/>
      <c r="N146" s="102"/>
      <c r="O146" s="102"/>
      <c r="P146" s="102"/>
      <c r="Q146" s="307">
        <v>534543.38</v>
      </c>
      <c r="R146" s="308"/>
      <c r="S146" s="309"/>
    </row>
    <row r="147" spans="1:19" ht="24" customHeight="1" thickBot="1" x14ac:dyDescent="0.3">
      <c r="A147" s="19"/>
      <c r="B147" s="106" t="s">
        <v>444</v>
      </c>
      <c r="C147" s="107"/>
      <c r="D147" s="107"/>
      <c r="E147" s="107"/>
      <c r="F147" s="107"/>
      <c r="G147" s="307">
        <v>56135.4</v>
      </c>
      <c r="H147" s="308"/>
      <c r="I147" s="309"/>
      <c r="J147" s="49"/>
      <c r="K147" s="19"/>
      <c r="L147" s="106" t="s">
        <v>444</v>
      </c>
      <c r="M147" s="107"/>
      <c r="N147" s="107"/>
      <c r="O147" s="107"/>
      <c r="P147" s="107"/>
      <c r="Q147" s="307">
        <v>123623.65</v>
      </c>
      <c r="R147" s="308"/>
      <c r="S147" s="309"/>
    </row>
    <row r="148" spans="1:19" ht="29.45" customHeight="1" x14ac:dyDescent="0.25">
      <c r="A148" s="30"/>
      <c r="B148" s="323" t="s">
        <v>562</v>
      </c>
      <c r="C148" s="323"/>
      <c r="D148" s="323"/>
      <c r="E148" s="323"/>
      <c r="F148" s="323"/>
      <c r="G148" s="323"/>
      <c r="H148" s="323"/>
      <c r="I148" s="323"/>
      <c r="K148" s="30"/>
      <c r="L148" s="323" t="s">
        <v>564</v>
      </c>
      <c r="M148" s="328"/>
      <c r="N148" s="328"/>
      <c r="O148" s="328"/>
      <c r="P148" s="328"/>
      <c r="Q148" s="328"/>
      <c r="R148" s="328"/>
      <c r="S148" s="328"/>
    </row>
    <row r="149" spans="1:19" ht="15.75" x14ac:dyDescent="0.25">
      <c r="A149" s="30"/>
      <c r="K149" s="30"/>
    </row>
    <row r="150" spans="1:19" x14ac:dyDescent="0.25">
      <c r="A150" s="3"/>
      <c r="B150" s="3"/>
      <c r="C150" s="3"/>
      <c r="D150" s="3"/>
      <c r="E150" s="4" t="s">
        <v>204</v>
      </c>
      <c r="F150" s="3"/>
      <c r="G150" s="3"/>
      <c r="H150" s="3"/>
      <c r="I150" s="3"/>
      <c r="K150" s="3"/>
      <c r="L150" s="3"/>
      <c r="M150" s="3"/>
      <c r="N150" s="3"/>
      <c r="O150" s="4" t="s">
        <v>204</v>
      </c>
      <c r="P150" s="3"/>
      <c r="Q150" s="3"/>
      <c r="R150" s="3"/>
      <c r="S150" s="3"/>
    </row>
    <row r="151" spans="1:19" x14ac:dyDescent="0.25">
      <c r="A151" s="3" t="s">
        <v>205</v>
      </c>
      <c r="B151" s="3"/>
      <c r="C151" s="3"/>
      <c r="D151" s="3" t="s">
        <v>342</v>
      </c>
      <c r="E151" s="3"/>
      <c r="F151" s="3"/>
      <c r="G151" s="3"/>
      <c r="H151" s="3"/>
      <c r="I151" s="3"/>
      <c r="K151" s="3" t="s">
        <v>205</v>
      </c>
      <c r="L151" s="3"/>
      <c r="M151" s="3"/>
      <c r="N151" s="3" t="s">
        <v>343</v>
      </c>
      <c r="O151" s="3"/>
      <c r="P151" s="3"/>
      <c r="Q151" s="3"/>
      <c r="R151" s="3"/>
      <c r="S151" s="3"/>
    </row>
    <row r="152" spans="1:19" x14ac:dyDescent="0.25">
      <c r="A152" s="3"/>
      <c r="B152" s="5" t="s">
        <v>440</v>
      </c>
      <c r="C152" s="3"/>
      <c r="D152" s="3"/>
      <c r="E152" s="3"/>
      <c r="F152" s="3"/>
      <c r="G152" s="3"/>
      <c r="H152" s="3"/>
      <c r="I152" s="3"/>
      <c r="K152" s="3"/>
      <c r="L152" s="5" t="s">
        <v>440</v>
      </c>
      <c r="M152" s="3"/>
      <c r="N152" s="3"/>
      <c r="O152" s="3"/>
      <c r="P152" s="3"/>
      <c r="Q152" s="3"/>
      <c r="R152" s="3"/>
      <c r="S152" s="3"/>
    </row>
    <row r="153" spans="1:19" ht="15.75" thickBot="1" x14ac:dyDescent="0.3">
      <c r="A153" s="3"/>
      <c r="B153" s="5" t="s">
        <v>206</v>
      </c>
      <c r="C153" s="3"/>
      <c r="D153" s="3"/>
      <c r="E153" s="3"/>
      <c r="F153" s="3">
        <f>'[1]Ж-2'!$L$9</f>
        <v>6180.1</v>
      </c>
      <c r="G153" s="3" t="s">
        <v>207</v>
      </c>
      <c r="H153" s="3"/>
      <c r="I153" s="3"/>
      <c r="J153" s="3"/>
      <c r="K153" s="3"/>
      <c r="L153" s="5" t="s">
        <v>206</v>
      </c>
      <c r="M153" s="3"/>
      <c r="N153" s="3"/>
      <c r="O153" s="3"/>
      <c r="P153" s="3">
        <f>'[1]Ж-2'!$M$9</f>
        <v>4646.1000000000004</v>
      </c>
      <c r="Q153" s="3" t="s">
        <v>207</v>
      </c>
      <c r="R153" s="3"/>
      <c r="S153" s="3"/>
    </row>
    <row r="154" spans="1:19" ht="15.75" customHeight="1" thickBot="1" x14ac:dyDescent="0.3">
      <c r="A154" s="175" t="s">
        <v>209</v>
      </c>
      <c r="B154" s="177" t="s">
        <v>210</v>
      </c>
      <c r="C154" s="178"/>
      <c r="D154" s="178"/>
      <c r="E154" s="178"/>
      <c r="F154" s="178"/>
      <c r="G154" s="180" t="s">
        <v>442</v>
      </c>
      <c r="H154" s="181"/>
      <c r="I154" s="175" t="s">
        <v>212</v>
      </c>
      <c r="J154" s="3"/>
      <c r="K154" s="175" t="s">
        <v>209</v>
      </c>
      <c r="L154" s="177" t="s">
        <v>210</v>
      </c>
      <c r="M154" s="178"/>
      <c r="N154" s="178"/>
      <c r="O154" s="178"/>
      <c r="P154" s="178"/>
      <c r="Q154" s="180" t="s">
        <v>442</v>
      </c>
      <c r="R154" s="181"/>
      <c r="S154" s="175" t="s">
        <v>212</v>
      </c>
    </row>
    <row r="155" spans="1:19" ht="66" customHeight="1" thickBot="1" x14ac:dyDescent="0.3">
      <c r="A155" s="176"/>
      <c r="B155" s="179"/>
      <c r="C155" s="179"/>
      <c r="D155" s="179"/>
      <c r="E155" s="179"/>
      <c r="F155" s="179"/>
      <c r="G155" s="182"/>
      <c r="H155" s="183"/>
      <c r="I155" s="184"/>
      <c r="J155" s="31"/>
      <c r="K155" s="176"/>
      <c r="L155" s="179"/>
      <c r="M155" s="179"/>
      <c r="N155" s="179"/>
      <c r="O155" s="179"/>
      <c r="P155" s="179"/>
      <c r="Q155" s="182"/>
      <c r="R155" s="183"/>
      <c r="S155" s="184"/>
    </row>
    <row r="156" spans="1:19" ht="19.5" customHeight="1" thickBot="1" x14ac:dyDescent="0.3">
      <c r="A156" s="185" t="s">
        <v>213</v>
      </c>
      <c r="B156" s="187" t="s">
        <v>354</v>
      </c>
      <c r="C156" s="188"/>
      <c r="D156" s="188"/>
      <c r="E156" s="188"/>
      <c r="F156" s="188"/>
      <c r="G156" s="190">
        <v>144786.91</v>
      </c>
      <c r="H156" s="191"/>
      <c r="I156" s="192"/>
      <c r="J156" s="32"/>
      <c r="K156" s="185" t="s">
        <v>213</v>
      </c>
      <c r="L156" s="187" t="s">
        <v>354</v>
      </c>
      <c r="M156" s="188"/>
      <c r="N156" s="188"/>
      <c r="O156" s="188"/>
      <c r="P156" s="188"/>
      <c r="Q156" s="190">
        <v>78594.3</v>
      </c>
      <c r="R156" s="191"/>
      <c r="S156" s="192"/>
    </row>
    <row r="157" spans="1:19" ht="15.75" hidden="1" customHeight="1" x14ac:dyDescent="0.25">
      <c r="A157" s="186"/>
      <c r="B157" s="189"/>
      <c r="C157" s="189"/>
      <c r="D157" s="189"/>
      <c r="E157" s="189"/>
      <c r="F157" s="189"/>
      <c r="G157" s="193"/>
      <c r="H157" s="194"/>
      <c r="I157" s="128"/>
      <c r="J157" s="33"/>
      <c r="K157" s="186"/>
      <c r="L157" s="189"/>
      <c r="M157" s="189"/>
      <c r="N157" s="189"/>
      <c r="O157" s="189"/>
      <c r="P157" s="189"/>
      <c r="Q157" s="193"/>
      <c r="R157" s="194"/>
      <c r="S157" s="128"/>
    </row>
    <row r="158" spans="1:19" ht="16.5" customHeight="1" x14ac:dyDescent="0.25">
      <c r="A158" s="6"/>
      <c r="B158" s="161" t="s">
        <v>214</v>
      </c>
      <c r="C158" s="162"/>
      <c r="D158" s="162"/>
      <c r="E158" s="162"/>
      <c r="F158" s="162"/>
      <c r="G158" s="163">
        <f>1.79*12*F153</f>
        <v>132748.54800000001</v>
      </c>
      <c r="H158" s="164"/>
      <c r="I158" s="169" t="s">
        <v>215</v>
      </c>
      <c r="J158" s="36"/>
      <c r="K158" s="6"/>
      <c r="L158" s="161" t="s">
        <v>214</v>
      </c>
      <c r="M158" s="162"/>
      <c r="N158" s="162"/>
      <c r="O158" s="162"/>
      <c r="P158" s="162"/>
      <c r="Q158" s="163">
        <f>1.71*12*P153</f>
        <v>95337.972000000009</v>
      </c>
      <c r="R158" s="164"/>
      <c r="S158" s="169" t="s">
        <v>215</v>
      </c>
    </row>
    <row r="159" spans="1:19" ht="33.75" customHeight="1" thickBot="1" x14ac:dyDescent="0.3">
      <c r="A159" s="7"/>
      <c r="B159" s="171" t="s">
        <v>216</v>
      </c>
      <c r="C159" s="172"/>
      <c r="D159" s="172"/>
      <c r="E159" s="172"/>
      <c r="F159" s="172"/>
      <c r="G159" s="165"/>
      <c r="H159" s="166"/>
      <c r="I159" s="170"/>
      <c r="J159" s="35"/>
      <c r="K159" s="7"/>
      <c r="L159" s="171" t="s">
        <v>216</v>
      </c>
      <c r="M159" s="172"/>
      <c r="N159" s="172"/>
      <c r="O159" s="172"/>
      <c r="P159" s="172"/>
      <c r="Q159" s="165"/>
      <c r="R159" s="166"/>
      <c r="S159" s="170"/>
    </row>
    <row r="160" spans="1:19" ht="13.5" customHeight="1" thickBot="1" x14ac:dyDescent="0.3">
      <c r="A160" s="7"/>
      <c r="B160" s="173" t="s">
        <v>217</v>
      </c>
      <c r="C160" s="174"/>
      <c r="D160" s="174"/>
      <c r="E160" s="174"/>
      <c r="F160" s="174"/>
      <c r="G160" s="167"/>
      <c r="H160" s="168"/>
      <c r="I160" s="8" t="s">
        <v>218</v>
      </c>
      <c r="J160" s="36"/>
      <c r="K160" s="7"/>
      <c r="L160" s="173" t="s">
        <v>217</v>
      </c>
      <c r="M160" s="174"/>
      <c r="N160" s="174"/>
      <c r="O160" s="174"/>
      <c r="P160" s="174"/>
      <c r="Q160" s="167"/>
      <c r="R160" s="168"/>
      <c r="S160" s="8" t="s">
        <v>218</v>
      </c>
    </row>
    <row r="161" spans="1:19" ht="13.5" customHeight="1" thickBot="1" x14ac:dyDescent="0.3">
      <c r="A161" s="7"/>
      <c r="B161" s="141" t="s">
        <v>219</v>
      </c>
      <c r="C161" s="142"/>
      <c r="D161" s="142"/>
      <c r="E161" s="142"/>
      <c r="F161" s="142"/>
      <c r="G161" s="143">
        <v>0</v>
      </c>
      <c r="H161" s="144"/>
      <c r="I161" s="8" t="s">
        <v>220</v>
      </c>
      <c r="J161" s="36"/>
      <c r="K161" s="7"/>
      <c r="L161" s="141" t="s">
        <v>219</v>
      </c>
      <c r="M161" s="142"/>
      <c r="N161" s="142"/>
      <c r="O161" s="142"/>
      <c r="P161" s="142"/>
      <c r="Q161" s="143">
        <v>0</v>
      </c>
      <c r="R161" s="144"/>
      <c r="S161" s="8" t="s">
        <v>220</v>
      </c>
    </row>
    <row r="162" spans="1:19" ht="13.5" customHeight="1" thickBot="1" x14ac:dyDescent="0.3">
      <c r="A162" s="7"/>
      <c r="B162" s="141" t="s">
        <v>221</v>
      </c>
      <c r="C162" s="142"/>
      <c r="D162" s="142"/>
      <c r="E162" s="142"/>
      <c r="F162" s="142"/>
      <c r="G162" s="143">
        <f>0.474*12*F153</f>
        <v>35152.408799999997</v>
      </c>
      <c r="H162" s="144"/>
      <c r="I162" s="8" t="s">
        <v>222</v>
      </c>
      <c r="J162" s="37"/>
      <c r="K162" s="7"/>
      <c r="L162" s="141" t="s">
        <v>221</v>
      </c>
      <c r="M162" s="142"/>
      <c r="N162" s="142"/>
      <c r="O162" s="142"/>
      <c r="P162" s="142"/>
      <c r="Q162" s="143">
        <f>0.47*12*P153</f>
        <v>26204.004000000001</v>
      </c>
      <c r="R162" s="144"/>
      <c r="S162" s="8" t="s">
        <v>222</v>
      </c>
    </row>
    <row r="163" spans="1:19" ht="13.5" customHeight="1" x14ac:dyDescent="0.25">
      <c r="A163" s="9"/>
      <c r="B163" s="145" t="s">
        <v>223</v>
      </c>
      <c r="C163" s="146"/>
      <c r="D163" s="146"/>
      <c r="E163" s="146"/>
      <c r="F163" s="146"/>
      <c r="G163" s="86">
        <f>1.99*12*F153</f>
        <v>147580.788</v>
      </c>
      <c r="H163" s="147"/>
      <c r="I163" s="152" t="s">
        <v>224</v>
      </c>
      <c r="J163" s="38"/>
      <c r="K163" s="9"/>
      <c r="L163" s="145" t="s">
        <v>223</v>
      </c>
      <c r="M163" s="146"/>
      <c r="N163" s="146"/>
      <c r="O163" s="146"/>
      <c r="P163" s="146"/>
      <c r="Q163" s="86">
        <f>1.99*12*P153</f>
        <v>110948.868</v>
      </c>
      <c r="R163" s="147"/>
      <c r="S163" s="152" t="s">
        <v>224</v>
      </c>
    </row>
    <row r="164" spans="1:19" ht="13.5" customHeight="1" x14ac:dyDescent="0.25">
      <c r="A164" s="10"/>
      <c r="B164" s="155" t="s">
        <v>226</v>
      </c>
      <c r="C164" s="156"/>
      <c r="D164" s="156"/>
      <c r="E164" s="156"/>
      <c r="F164" s="156"/>
      <c r="G164" s="148"/>
      <c r="H164" s="149"/>
      <c r="I164" s="153"/>
      <c r="J164" s="38"/>
      <c r="K164" s="10"/>
      <c r="L164" s="155" t="s">
        <v>226</v>
      </c>
      <c r="M164" s="156"/>
      <c r="N164" s="156"/>
      <c r="O164" s="156"/>
      <c r="P164" s="156"/>
      <c r="Q164" s="148"/>
      <c r="R164" s="149"/>
      <c r="S164" s="153"/>
    </row>
    <row r="165" spans="1:19" ht="13.5" customHeight="1" thickBot="1" x14ac:dyDescent="0.3">
      <c r="A165" s="10"/>
      <c r="B165" s="157" t="s">
        <v>227</v>
      </c>
      <c r="C165" s="158"/>
      <c r="D165" s="158"/>
      <c r="E165" s="158"/>
      <c r="F165" s="158"/>
      <c r="G165" s="148"/>
      <c r="H165" s="149"/>
      <c r="I165" s="154"/>
      <c r="J165" s="39"/>
      <c r="K165" s="10"/>
      <c r="L165" s="157" t="s">
        <v>227</v>
      </c>
      <c r="M165" s="158"/>
      <c r="N165" s="158"/>
      <c r="O165" s="158"/>
      <c r="P165" s="158"/>
      <c r="Q165" s="148"/>
      <c r="R165" s="149"/>
      <c r="S165" s="154"/>
    </row>
    <row r="166" spans="1:19" ht="13.5" customHeight="1" thickBot="1" x14ac:dyDescent="0.3">
      <c r="A166" s="10"/>
      <c r="B166" s="159" t="s">
        <v>228</v>
      </c>
      <c r="C166" s="160"/>
      <c r="D166" s="160"/>
      <c r="E166" s="160"/>
      <c r="F166" s="160"/>
      <c r="G166" s="150"/>
      <c r="H166" s="151"/>
      <c r="I166" s="11" t="s">
        <v>229</v>
      </c>
      <c r="J166" s="36"/>
      <c r="K166" s="10"/>
      <c r="L166" s="159" t="s">
        <v>228</v>
      </c>
      <c r="M166" s="160"/>
      <c r="N166" s="160"/>
      <c r="O166" s="160"/>
      <c r="P166" s="160"/>
      <c r="Q166" s="150"/>
      <c r="R166" s="151"/>
      <c r="S166" s="11" t="s">
        <v>229</v>
      </c>
    </row>
    <row r="167" spans="1:19" ht="13.5" customHeight="1" x14ac:dyDescent="0.25">
      <c r="A167" s="12"/>
      <c r="B167" s="125" t="s">
        <v>230</v>
      </c>
      <c r="C167" s="126"/>
      <c r="D167" s="126"/>
      <c r="E167" s="126"/>
      <c r="F167" s="126"/>
      <c r="G167" s="86">
        <f>0.048*12*F153</f>
        <v>3559.7376000000008</v>
      </c>
      <c r="H167" s="87"/>
      <c r="I167" s="129" t="s">
        <v>220</v>
      </c>
      <c r="J167" s="36"/>
      <c r="K167" s="12"/>
      <c r="L167" s="125" t="s">
        <v>230</v>
      </c>
      <c r="M167" s="126"/>
      <c r="N167" s="126"/>
      <c r="O167" s="126"/>
      <c r="P167" s="126"/>
      <c r="Q167" s="86">
        <f>0.048*12*P153</f>
        <v>2676.1536000000006</v>
      </c>
      <c r="R167" s="87"/>
      <c r="S167" s="129" t="s">
        <v>220</v>
      </c>
    </row>
    <row r="168" spans="1:19" ht="13.5" customHeight="1" thickBot="1" x14ac:dyDescent="0.3">
      <c r="A168" s="7"/>
      <c r="B168" s="131" t="s">
        <v>231</v>
      </c>
      <c r="C168" s="132"/>
      <c r="D168" s="132"/>
      <c r="E168" s="132"/>
      <c r="F168" s="132"/>
      <c r="G168" s="127"/>
      <c r="H168" s="128"/>
      <c r="I168" s="130"/>
      <c r="J168" s="36"/>
      <c r="K168" s="7"/>
      <c r="L168" s="131" t="s">
        <v>231</v>
      </c>
      <c r="M168" s="132"/>
      <c r="N168" s="132"/>
      <c r="O168" s="132"/>
      <c r="P168" s="132"/>
      <c r="Q168" s="127"/>
      <c r="R168" s="128"/>
      <c r="S168" s="130"/>
    </row>
    <row r="169" spans="1:19" ht="15.75" customHeight="1" thickBot="1" x14ac:dyDescent="0.3">
      <c r="A169" s="13"/>
      <c r="B169" s="133" t="s">
        <v>232</v>
      </c>
      <c r="C169" s="134"/>
      <c r="D169" s="134"/>
      <c r="E169" s="134"/>
      <c r="F169" s="134"/>
      <c r="G169" s="135"/>
      <c r="H169" s="136"/>
      <c r="I169" s="14"/>
      <c r="J169" s="36"/>
      <c r="K169" s="13"/>
      <c r="L169" s="133" t="s">
        <v>232</v>
      </c>
      <c r="M169" s="134"/>
      <c r="N169" s="134"/>
      <c r="O169" s="134"/>
      <c r="P169" s="134"/>
      <c r="Q169" s="135"/>
      <c r="R169" s="136"/>
      <c r="S169" s="14"/>
    </row>
    <row r="170" spans="1:19" ht="15.75" customHeight="1" thickBot="1" x14ac:dyDescent="0.3">
      <c r="A170" s="13"/>
      <c r="B170" s="84" t="s">
        <v>233</v>
      </c>
      <c r="C170" s="85"/>
      <c r="D170" s="85"/>
      <c r="E170" s="85"/>
      <c r="F170" s="85"/>
      <c r="G170" s="86">
        <f>1.69*12*F153</f>
        <v>125332.42800000001</v>
      </c>
      <c r="H170" s="87"/>
      <c r="I170" s="92" t="s">
        <v>567</v>
      </c>
      <c r="J170" s="41"/>
      <c r="K170" s="13"/>
      <c r="L170" s="84" t="s">
        <v>233</v>
      </c>
      <c r="M170" s="85"/>
      <c r="N170" s="85"/>
      <c r="O170" s="85"/>
      <c r="P170" s="85"/>
      <c r="Q170" s="86">
        <f>1.5*12*P153</f>
        <v>83629.8</v>
      </c>
      <c r="R170" s="87"/>
      <c r="S170" s="92" t="s">
        <v>568</v>
      </c>
    </row>
    <row r="171" spans="1:19" ht="39.75" customHeight="1" x14ac:dyDescent="0.25">
      <c r="A171" s="118"/>
      <c r="B171" s="121" t="s">
        <v>226</v>
      </c>
      <c r="C171" s="122"/>
      <c r="D171" s="122"/>
      <c r="E171" s="122"/>
      <c r="F171" s="122"/>
      <c r="G171" s="88"/>
      <c r="H171" s="89"/>
      <c r="I171" s="93"/>
      <c r="J171" s="41"/>
      <c r="K171" s="118"/>
      <c r="L171" s="121" t="s">
        <v>226</v>
      </c>
      <c r="M171" s="122"/>
      <c r="N171" s="122"/>
      <c r="O171" s="122"/>
      <c r="P171" s="122"/>
      <c r="Q171" s="88"/>
      <c r="R171" s="89"/>
      <c r="S171" s="93"/>
    </row>
    <row r="172" spans="1:19" ht="49.5" customHeight="1" x14ac:dyDescent="0.25">
      <c r="A172" s="119"/>
      <c r="B172" s="121" t="s">
        <v>227</v>
      </c>
      <c r="C172" s="122"/>
      <c r="D172" s="122"/>
      <c r="E172" s="122"/>
      <c r="F172" s="122"/>
      <c r="G172" s="88"/>
      <c r="H172" s="89"/>
      <c r="I172" s="93"/>
      <c r="J172" s="41"/>
      <c r="K172" s="119"/>
      <c r="L172" s="121" t="s">
        <v>227</v>
      </c>
      <c r="M172" s="122"/>
      <c r="N172" s="122"/>
      <c r="O172" s="122"/>
      <c r="P172" s="122"/>
      <c r="Q172" s="88"/>
      <c r="R172" s="89"/>
      <c r="S172" s="93"/>
    </row>
    <row r="173" spans="1:19" ht="48" customHeight="1" x14ac:dyDescent="0.25">
      <c r="A173" s="119"/>
      <c r="B173" s="121" t="s">
        <v>228</v>
      </c>
      <c r="C173" s="122"/>
      <c r="D173" s="122"/>
      <c r="E173" s="122"/>
      <c r="F173" s="122"/>
      <c r="G173" s="88"/>
      <c r="H173" s="89"/>
      <c r="I173" s="93"/>
      <c r="J173" s="41"/>
      <c r="K173" s="119"/>
      <c r="L173" s="121" t="s">
        <v>228</v>
      </c>
      <c r="M173" s="122"/>
      <c r="N173" s="122"/>
      <c r="O173" s="122"/>
      <c r="P173" s="122"/>
      <c r="Q173" s="88"/>
      <c r="R173" s="89"/>
      <c r="S173" s="93"/>
    </row>
    <row r="174" spans="1:19" ht="75.75" customHeight="1" thickBot="1" x14ac:dyDescent="0.3">
      <c r="A174" s="120"/>
      <c r="B174" s="123" t="s">
        <v>234</v>
      </c>
      <c r="C174" s="124"/>
      <c r="D174" s="124"/>
      <c r="E174" s="124"/>
      <c r="F174" s="124"/>
      <c r="G174" s="90"/>
      <c r="H174" s="91"/>
      <c r="I174" s="94"/>
      <c r="J174" s="42"/>
      <c r="K174" s="120"/>
      <c r="L174" s="123" t="s">
        <v>234</v>
      </c>
      <c r="M174" s="124"/>
      <c r="N174" s="124"/>
      <c r="O174" s="124"/>
      <c r="P174" s="124"/>
      <c r="Q174" s="90"/>
      <c r="R174" s="91"/>
      <c r="S174" s="94"/>
    </row>
    <row r="175" spans="1:19" ht="0.75" customHeight="1" thickBot="1" x14ac:dyDescent="0.3">
      <c r="A175" s="15"/>
      <c r="B175" s="137" t="s">
        <v>248</v>
      </c>
      <c r="C175" s="138"/>
      <c r="D175" s="138"/>
      <c r="E175" s="138"/>
      <c r="F175" s="138"/>
      <c r="G175" s="139"/>
      <c r="H175" s="140"/>
      <c r="I175" s="16"/>
      <c r="J175" s="43"/>
      <c r="K175" s="15"/>
      <c r="L175" s="137" t="s">
        <v>248</v>
      </c>
      <c r="M175" s="138"/>
      <c r="N175" s="138"/>
      <c r="O175" s="138"/>
      <c r="P175" s="138"/>
      <c r="Q175" s="139"/>
      <c r="R175" s="140"/>
      <c r="S175" s="16"/>
    </row>
    <row r="176" spans="1:19" ht="2.25" customHeight="1" thickBot="1" x14ac:dyDescent="0.3">
      <c r="A176" s="15"/>
      <c r="B176" s="137" t="s">
        <v>235</v>
      </c>
      <c r="C176" s="138"/>
      <c r="D176" s="138"/>
      <c r="E176" s="138"/>
      <c r="F176" s="138"/>
      <c r="G176" s="139"/>
      <c r="H176" s="140"/>
      <c r="I176" s="16"/>
      <c r="J176" s="44"/>
      <c r="K176" s="15"/>
      <c r="L176" s="137" t="s">
        <v>235</v>
      </c>
      <c r="M176" s="138"/>
      <c r="N176" s="138"/>
      <c r="O176" s="138"/>
      <c r="P176" s="138"/>
      <c r="Q176" s="139"/>
      <c r="R176" s="140"/>
      <c r="S176" s="16"/>
    </row>
    <row r="177" spans="1:19" ht="33" customHeight="1" thickBot="1" x14ac:dyDescent="0.3">
      <c r="A177" s="17"/>
      <c r="B177" s="78" t="s">
        <v>237</v>
      </c>
      <c r="C177" s="79"/>
      <c r="D177" s="79"/>
      <c r="E177" s="79"/>
      <c r="F177" s="79"/>
      <c r="G177" s="86">
        <v>11125</v>
      </c>
      <c r="H177" s="87"/>
      <c r="I177" s="108" t="s">
        <v>229</v>
      </c>
      <c r="J177" s="40"/>
      <c r="K177" s="17"/>
      <c r="L177" s="78" t="s">
        <v>237</v>
      </c>
      <c r="M177" s="79"/>
      <c r="N177" s="79"/>
      <c r="O177" s="79"/>
      <c r="P177" s="79"/>
      <c r="Q177" s="86">
        <v>6600</v>
      </c>
      <c r="R177" s="87"/>
      <c r="S177" s="108" t="s">
        <v>229</v>
      </c>
    </row>
    <row r="178" spans="1:19" ht="15.75" thickBot="1" x14ac:dyDescent="0.3">
      <c r="A178" s="18"/>
      <c r="B178" s="110" t="s">
        <v>238</v>
      </c>
      <c r="C178" s="111"/>
      <c r="D178" s="111"/>
      <c r="E178" s="111"/>
      <c r="F178" s="111"/>
      <c r="G178" s="90"/>
      <c r="H178" s="91"/>
      <c r="I178" s="109"/>
      <c r="J178" s="45"/>
      <c r="K178" s="18"/>
      <c r="L178" s="110" t="s">
        <v>238</v>
      </c>
      <c r="M178" s="111"/>
      <c r="N178" s="111"/>
      <c r="O178" s="111"/>
      <c r="P178" s="111"/>
      <c r="Q178" s="90"/>
      <c r="R178" s="91"/>
      <c r="S178" s="109"/>
    </row>
    <row r="179" spans="1:19" ht="15.75" thickBot="1" x14ac:dyDescent="0.3">
      <c r="A179" s="19"/>
      <c r="B179" s="112" t="s">
        <v>239</v>
      </c>
      <c r="C179" s="113"/>
      <c r="D179" s="113"/>
      <c r="E179" s="113"/>
      <c r="F179" s="113"/>
      <c r="G179" s="114">
        <f>SUM(G158:H178)</f>
        <v>455498.91039999999</v>
      </c>
      <c r="H179" s="115"/>
      <c r="I179" s="20"/>
      <c r="J179" s="46"/>
      <c r="K179" s="19"/>
      <c r="L179" s="112" t="s">
        <v>239</v>
      </c>
      <c r="M179" s="113"/>
      <c r="N179" s="113"/>
      <c r="O179" s="113"/>
      <c r="P179" s="113"/>
      <c r="Q179" s="114">
        <f>SUM(Q158:R178)</f>
        <v>325396.79759999999</v>
      </c>
      <c r="R179" s="115"/>
      <c r="S179" s="20"/>
    </row>
    <row r="180" spans="1:19" ht="24" customHeight="1" thickBot="1" x14ac:dyDescent="0.3">
      <c r="A180" s="21"/>
      <c r="B180" s="101" t="s">
        <v>240</v>
      </c>
      <c r="C180" s="102"/>
      <c r="D180" s="102"/>
      <c r="E180" s="102"/>
      <c r="F180" s="102"/>
      <c r="G180" s="116">
        <f>G179*1.2</f>
        <v>546598.69247999997</v>
      </c>
      <c r="H180" s="117"/>
      <c r="I180" s="22"/>
      <c r="J180" s="47"/>
      <c r="K180" s="21"/>
      <c r="L180" s="101" t="s">
        <v>240</v>
      </c>
      <c r="M180" s="102"/>
      <c r="N180" s="102"/>
      <c r="O180" s="102"/>
      <c r="P180" s="102"/>
      <c r="Q180" s="116">
        <f>Q179*1.2</f>
        <v>390476.15711999999</v>
      </c>
      <c r="R180" s="117"/>
      <c r="S180" s="22"/>
    </row>
    <row r="181" spans="1:19" ht="24" customHeight="1" thickBot="1" x14ac:dyDescent="0.3">
      <c r="A181" s="24"/>
      <c r="B181" s="96" t="s">
        <v>443</v>
      </c>
      <c r="C181" s="97"/>
      <c r="D181" s="97"/>
      <c r="E181" s="97"/>
      <c r="F181" s="97"/>
      <c r="G181" s="311">
        <v>551355.93000000005</v>
      </c>
      <c r="H181" s="312"/>
      <c r="I181" s="313"/>
      <c r="J181" s="47"/>
      <c r="K181" s="24"/>
      <c r="L181" s="96" t="s">
        <v>443</v>
      </c>
      <c r="M181" s="97"/>
      <c r="N181" s="97"/>
      <c r="O181" s="97"/>
      <c r="P181" s="97"/>
      <c r="Q181" s="311">
        <v>386194.99</v>
      </c>
      <c r="R181" s="312"/>
      <c r="S181" s="313"/>
    </row>
    <row r="182" spans="1:19" ht="24" customHeight="1" thickBot="1" x14ac:dyDescent="0.3">
      <c r="A182" s="19"/>
      <c r="B182" s="101" t="s">
        <v>242</v>
      </c>
      <c r="C182" s="102"/>
      <c r="D182" s="102"/>
      <c r="E182" s="102"/>
      <c r="F182" s="102"/>
      <c r="G182" s="307">
        <v>549382.97</v>
      </c>
      <c r="H182" s="308"/>
      <c r="I182" s="309"/>
      <c r="J182" s="47"/>
      <c r="K182" s="19"/>
      <c r="L182" s="101" t="s">
        <v>242</v>
      </c>
      <c r="M182" s="102"/>
      <c r="N182" s="102"/>
      <c r="O182" s="102"/>
      <c r="P182" s="102"/>
      <c r="Q182" s="333">
        <v>396088</v>
      </c>
      <c r="R182" s="334"/>
      <c r="S182" s="335"/>
    </row>
    <row r="183" spans="1:19" ht="24" customHeight="1" thickBot="1" x14ac:dyDescent="0.3">
      <c r="A183" s="19"/>
      <c r="B183" s="106" t="s">
        <v>444</v>
      </c>
      <c r="C183" s="107"/>
      <c r="D183" s="107"/>
      <c r="E183" s="107"/>
      <c r="F183" s="107"/>
      <c r="G183" s="307">
        <v>146759.87</v>
      </c>
      <c r="H183" s="308"/>
      <c r="I183" s="309"/>
      <c r="J183" s="47"/>
      <c r="K183" s="19"/>
      <c r="L183" s="106" t="s">
        <v>444</v>
      </c>
      <c r="M183" s="107"/>
      <c r="N183" s="107"/>
      <c r="O183" s="107"/>
      <c r="P183" s="107"/>
      <c r="Q183" s="307">
        <v>68701.289999999994</v>
      </c>
      <c r="R183" s="308"/>
      <c r="S183" s="309"/>
    </row>
    <row r="184" spans="1:19" ht="48" customHeight="1" x14ac:dyDescent="0.25">
      <c r="A184" s="3"/>
      <c r="B184" s="323" t="s">
        <v>566</v>
      </c>
      <c r="C184" s="323"/>
      <c r="D184" s="323"/>
      <c r="E184" s="323"/>
      <c r="F184" s="323"/>
      <c r="G184" s="323"/>
      <c r="H184" s="323"/>
      <c r="I184" s="323"/>
      <c r="L184" s="323"/>
      <c r="M184" s="323"/>
      <c r="N184" s="323"/>
      <c r="O184" s="323"/>
      <c r="P184" s="323"/>
      <c r="Q184" s="323"/>
      <c r="R184" s="323"/>
      <c r="S184" s="323"/>
    </row>
    <row r="185" spans="1:19" ht="15.75" x14ac:dyDescent="0.25">
      <c r="A185" s="30"/>
      <c r="C185" s="30"/>
      <c r="K185" s="30"/>
      <c r="N185" s="30"/>
    </row>
    <row r="186" spans="1:19" ht="15.75" x14ac:dyDescent="0.25">
      <c r="A186" s="30"/>
      <c r="C186" s="30"/>
      <c r="K186" s="30"/>
      <c r="N186" s="30"/>
    </row>
    <row r="187" spans="1:19" ht="15.75" x14ac:dyDescent="0.25">
      <c r="A187" s="30"/>
      <c r="C187" s="30"/>
      <c r="K187" s="30"/>
      <c r="N187" s="30"/>
    </row>
    <row r="188" spans="1:19" x14ac:dyDescent="0.25">
      <c r="A188" s="3"/>
      <c r="B188" s="3"/>
      <c r="C188" s="3"/>
      <c r="D188" s="3"/>
      <c r="E188" s="4" t="s">
        <v>204</v>
      </c>
      <c r="F188" s="3"/>
      <c r="G188" s="3"/>
      <c r="H188" s="3"/>
      <c r="I188" s="3"/>
      <c r="K188" s="3"/>
      <c r="L188" s="3"/>
      <c r="M188" s="3"/>
      <c r="N188" s="3"/>
      <c r="O188" s="4" t="s">
        <v>204</v>
      </c>
      <c r="P188" s="3"/>
      <c r="Q188" s="3"/>
      <c r="R188" s="3"/>
      <c r="S188" s="3"/>
    </row>
    <row r="189" spans="1:19" x14ac:dyDescent="0.25">
      <c r="A189" s="3" t="s">
        <v>205</v>
      </c>
      <c r="B189" s="3"/>
      <c r="C189" s="3"/>
      <c r="D189" s="3" t="s">
        <v>344</v>
      </c>
      <c r="E189" s="3"/>
      <c r="F189" s="3"/>
      <c r="G189" s="3"/>
      <c r="H189" s="3"/>
      <c r="I189" s="3"/>
      <c r="K189" s="3" t="s">
        <v>205</v>
      </c>
      <c r="L189" s="3"/>
      <c r="M189" s="3"/>
      <c r="N189" s="3" t="s">
        <v>345</v>
      </c>
      <c r="O189" s="3"/>
      <c r="P189" s="3"/>
      <c r="Q189" s="3"/>
      <c r="R189" s="3"/>
      <c r="S189" s="3"/>
    </row>
    <row r="190" spans="1:19" x14ac:dyDescent="0.25">
      <c r="A190" s="3"/>
      <c r="B190" s="5" t="s">
        <v>440</v>
      </c>
      <c r="C190" s="3"/>
      <c r="D190" s="3"/>
      <c r="E190" s="3"/>
      <c r="F190" s="3"/>
      <c r="G190" s="3"/>
      <c r="H190" s="3"/>
      <c r="I190" s="3"/>
      <c r="K190" s="3"/>
      <c r="L190" s="5" t="s">
        <v>440</v>
      </c>
      <c r="M190" s="3"/>
      <c r="N190" s="3"/>
      <c r="O190" s="3"/>
      <c r="P190" s="3"/>
      <c r="Q190" s="3"/>
      <c r="R190" s="3"/>
      <c r="S190" s="3"/>
    </row>
    <row r="191" spans="1:19" x14ac:dyDescent="0.25">
      <c r="A191" s="3"/>
      <c r="B191" s="5" t="s">
        <v>206</v>
      </c>
      <c r="C191" s="3"/>
      <c r="D191" s="3"/>
      <c r="E191" s="3"/>
      <c r="F191" s="3">
        <f>'[1]Ж-2'!$N$9</f>
        <v>2236.4</v>
      </c>
      <c r="G191" s="3" t="s">
        <v>207</v>
      </c>
      <c r="H191" s="3"/>
      <c r="I191" s="3"/>
      <c r="K191" s="3"/>
      <c r="L191" s="5" t="s">
        <v>206</v>
      </c>
      <c r="M191" s="3"/>
      <c r="N191" s="3"/>
      <c r="O191" s="3"/>
      <c r="P191" s="3">
        <f>'[1]Ж-2'!$O$9</f>
        <v>2151.8000000000002</v>
      </c>
      <c r="Q191" s="3" t="s">
        <v>207</v>
      </c>
      <c r="R191" s="3"/>
      <c r="S191" s="3"/>
    </row>
    <row r="192" spans="1:19" ht="15.75" thickBot="1" x14ac:dyDescent="0.3">
      <c r="A192" s="3"/>
      <c r="B192" s="3"/>
      <c r="C192" s="3"/>
      <c r="D192" s="4"/>
      <c r="E192" s="4"/>
      <c r="F192" s="3"/>
      <c r="G192" s="3"/>
      <c r="H192" s="3"/>
      <c r="I192" s="3"/>
      <c r="J192" s="3"/>
      <c r="K192" s="3"/>
      <c r="L192" s="3"/>
      <c r="M192" s="3"/>
      <c r="N192" s="4"/>
      <c r="O192" s="4"/>
      <c r="P192" s="3"/>
      <c r="Q192" s="3"/>
      <c r="R192" s="3"/>
      <c r="S192" s="3"/>
    </row>
    <row r="193" spans="1:19" ht="15" customHeight="1" x14ac:dyDescent="0.25">
      <c r="A193" s="175" t="s">
        <v>209</v>
      </c>
      <c r="B193" s="177" t="s">
        <v>210</v>
      </c>
      <c r="C193" s="178"/>
      <c r="D193" s="178"/>
      <c r="E193" s="178"/>
      <c r="F193" s="178"/>
      <c r="G193" s="180" t="s">
        <v>442</v>
      </c>
      <c r="H193" s="181"/>
      <c r="I193" s="175" t="s">
        <v>212</v>
      </c>
      <c r="J193" s="3"/>
      <c r="K193" s="175" t="s">
        <v>209</v>
      </c>
      <c r="L193" s="177" t="s">
        <v>210</v>
      </c>
      <c r="M193" s="178"/>
      <c r="N193" s="178"/>
      <c r="O193" s="178"/>
      <c r="P193" s="178"/>
      <c r="Q193" s="180" t="s">
        <v>442</v>
      </c>
      <c r="R193" s="181"/>
      <c r="S193" s="175" t="s">
        <v>212</v>
      </c>
    </row>
    <row r="194" spans="1:19" ht="76.5" customHeight="1" thickBot="1" x14ac:dyDescent="0.3">
      <c r="A194" s="176"/>
      <c r="B194" s="179"/>
      <c r="C194" s="179"/>
      <c r="D194" s="179"/>
      <c r="E194" s="179"/>
      <c r="F194" s="179"/>
      <c r="G194" s="182"/>
      <c r="H194" s="183"/>
      <c r="I194" s="184"/>
      <c r="J194" s="3"/>
      <c r="K194" s="176"/>
      <c r="L194" s="179"/>
      <c r="M194" s="179"/>
      <c r="N194" s="179"/>
      <c r="O194" s="179"/>
      <c r="P194" s="179"/>
      <c r="Q194" s="182"/>
      <c r="R194" s="183"/>
      <c r="S194" s="184"/>
    </row>
    <row r="195" spans="1:19" ht="15" customHeight="1" x14ac:dyDescent="0.25">
      <c r="A195" s="185" t="s">
        <v>213</v>
      </c>
      <c r="B195" s="187" t="s">
        <v>354</v>
      </c>
      <c r="C195" s="188"/>
      <c r="D195" s="188"/>
      <c r="E195" s="188"/>
      <c r="F195" s="188"/>
      <c r="G195" s="190">
        <v>25093.42</v>
      </c>
      <c r="H195" s="191"/>
      <c r="I195" s="192"/>
      <c r="J195" s="51"/>
      <c r="K195" s="185" t="s">
        <v>213</v>
      </c>
      <c r="L195" s="187" t="s">
        <v>354</v>
      </c>
      <c r="M195" s="188"/>
      <c r="N195" s="188"/>
      <c r="O195" s="188"/>
      <c r="P195" s="188"/>
      <c r="Q195" s="190">
        <v>24579.75</v>
      </c>
      <c r="R195" s="191"/>
      <c r="S195" s="192"/>
    </row>
    <row r="196" spans="1:19" ht="8.25" customHeight="1" thickBot="1" x14ac:dyDescent="0.3">
      <c r="A196" s="186"/>
      <c r="B196" s="189"/>
      <c r="C196" s="189"/>
      <c r="D196" s="189"/>
      <c r="E196" s="189"/>
      <c r="F196" s="189"/>
      <c r="G196" s="193"/>
      <c r="H196" s="194"/>
      <c r="I196" s="128"/>
      <c r="J196" s="52"/>
      <c r="K196" s="186"/>
      <c r="L196" s="189"/>
      <c r="M196" s="189"/>
      <c r="N196" s="189"/>
      <c r="O196" s="189"/>
      <c r="P196" s="189"/>
      <c r="Q196" s="193"/>
      <c r="R196" s="194"/>
      <c r="S196" s="128"/>
    </row>
    <row r="197" spans="1:19" ht="15" customHeight="1" x14ac:dyDescent="0.25">
      <c r="A197" s="6"/>
      <c r="B197" s="161" t="s">
        <v>214</v>
      </c>
      <c r="C197" s="162"/>
      <c r="D197" s="162"/>
      <c r="E197" s="162"/>
      <c r="F197" s="162"/>
      <c r="G197" s="163">
        <f>1.55*12*F191</f>
        <v>41597.040000000008</v>
      </c>
      <c r="H197" s="164"/>
      <c r="I197" s="169" t="s">
        <v>215</v>
      </c>
      <c r="J197" s="63"/>
      <c r="K197" s="6"/>
      <c r="L197" s="161" t="s">
        <v>214</v>
      </c>
      <c r="M197" s="162"/>
      <c r="N197" s="162"/>
      <c r="O197" s="162"/>
      <c r="P197" s="162"/>
      <c r="Q197" s="163">
        <f>1.5*12*P191</f>
        <v>38732.400000000001</v>
      </c>
      <c r="R197" s="164"/>
      <c r="S197" s="169" t="s">
        <v>215</v>
      </c>
    </row>
    <row r="198" spans="1:19" ht="33" customHeight="1" thickBot="1" x14ac:dyDescent="0.3">
      <c r="A198" s="7"/>
      <c r="B198" s="171" t="s">
        <v>216</v>
      </c>
      <c r="C198" s="172"/>
      <c r="D198" s="172"/>
      <c r="E198" s="172"/>
      <c r="F198" s="172"/>
      <c r="G198" s="165"/>
      <c r="H198" s="166"/>
      <c r="I198" s="170"/>
      <c r="J198" s="43"/>
      <c r="K198" s="7"/>
      <c r="L198" s="171" t="s">
        <v>216</v>
      </c>
      <c r="M198" s="172"/>
      <c r="N198" s="172"/>
      <c r="O198" s="172"/>
      <c r="P198" s="172"/>
      <c r="Q198" s="165"/>
      <c r="R198" s="166"/>
      <c r="S198" s="170"/>
    </row>
    <row r="199" spans="1:19" ht="13.5" customHeight="1" thickBot="1" x14ac:dyDescent="0.3">
      <c r="A199" s="7"/>
      <c r="B199" s="173" t="s">
        <v>217</v>
      </c>
      <c r="C199" s="174"/>
      <c r="D199" s="174"/>
      <c r="E199" s="174"/>
      <c r="F199" s="174"/>
      <c r="G199" s="167"/>
      <c r="H199" s="168"/>
      <c r="I199" s="8" t="s">
        <v>218</v>
      </c>
      <c r="J199" s="42"/>
      <c r="K199" s="7"/>
      <c r="L199" s="173" t="s">
        <v>217</v>
      </c>
      <c r="M199" s="174"/>
      <c r="N199" s="174"/>
      <c r="O199" s="174"/>
      <c r="P199" s="174"/>
      <c r="Q199" s="167"/>
      <c r="R199" s="168"/>
      <c r="S199" s="8" t="s">
        <v>218</v>
      </c>
    </row>
    <row r="200" spans="1:19" ht="16.5" customHeight="1" thickBot="1" x14ac:dyDescent="0.3">
      <c r="A200" s="7"/>
      <c r="B200" s="141" t="s">
        <v>219</v>
      </c>
      <c r="C200" s="142"/>
      <c r="D200" s="142"/>
      <c r="E200" s="142"/>
      <c r="F200" s="142"/>
      <c r="G200" s="143">
        <f>1771.95*12</f>
        <v>21263.4</v>
      </c>
      <c r="H200" s="144"/>
      <c r="I200" s="8" t="s">
        <v>220</v>
      </c>
      <c r="J200" s="43"/>
      <c r="K200" s="7"/>
      <c r="L200" s="141" t="s">
        <v>219</v>
      </c>
      <c r="M200" s="142"/>
      <c r="N200" s="142"/>
      <c r="O200" s="142"/>
      <c r="P200" s="142"/>
      <c r="Q200" s="143">
        <f>1771.96*12</f>
        <v>21263.52</v>
      </c>
      <c r="R200" s="144"/>
      <c r="S200" s="8" t="s">
        <v>220</v>
      </c>
    </row>
    <row r="201" spans="1:19" ht="16.5" customHeight="1" thickBot="1" x14ac:dyDescent="0.3">
      <c r="A201" s="7"/>
      <c r="B201" s="141" t="s">
        <v>221</v>
      </c>
      <c r="C201" s="142"/>
      <c r="D201" s="142"/>
      <c r="E201" s="142"/>
      <c r="F201" s="142"/>
      <c r="G201" s="143">
        <f>0.47*12*F191</f>
        <v>12613.296</v>
      </c>
      <c r="H201" s="144"/>
      <c r="I201" s="8" t="s">
        <v>222</v>
      </c>
      <c r="J201" s="55"/>
      <c r="K201" s="7"/>
      <c r="L201" s="141" t="s">
        <v>221</v>
      </c>
      <c r="M201" s="142"/>
      <c r="N201" s="142"/>
      <c r="O201" s="142"/>
      <c r="P201" s="142"/>
      <c r="Q201" s="143">
        <f>0.47*12*P191</f>
        <v>12136.152</v>
      </c>
      <c r="R201" s="144"/>
      <c r="S201" s="8" t="s">
        <v>222</v>
      </c>
    </row>
    <row r="202" spans="1:19" ht="13.5" customHeight="1" x14ac:dyDescent="0.25">
      <c r="A202" s="9"/>
      <c r="B202" s="145" t="s">
        <v>223</v>
      </c>
      <c r="C202" s="146"/>
      <c r="D202" s="146"/>
      <c r="E202" s="146"/>
      <c r="F202" s="146"/>
      <c r="G202" s="86">
        <f>1.99*12*F191</f>
        <v>53405.231999999996</v>
      </c>
      <c r="H202" s="147"/>
      <c r="I202" s="152" t="s">
        <v>224</v>
      </c>
      <c r="J202" s="56"/>
      <c r="K202" s="9"/>
      <c r="L202" s="145" t="s">
        <v>223</v>
      </c>
      <c r="M202" s="146"/>
      <c r="N202" s="146"/>
      <c r="O202" s="146"/>
      <c r="P202" s="146"/>
      <c r="Q202" s="86">
        <f>1.9*12*P191</f>
        <v>49061.04</v>
      </c>
      <c r="R202" s="147"/>
      <c r="S202" s="152" t="s">
        <v>224</v>
      </c>
    </row>
    <row r="203" spans="1:19" ht="13.5" customHeight="1" x14ac:dyDescent="0.25">
      <c r="A203" s="10"/>
      <c r="B203" s="155" t="s">
        <v>226</v>
      </c>
      <c r="C203" s="156"/>
      <c r="D203" s="156"/>
      <c r="E203" s="156"/>
      <c r="F203" s="156"/>
      <c r="G203" s="148"/>
      <c r="H203" s="149"/>
      <c r="I203" s="153"/>
      <c r="J203" s="56"/>
      <c r="K203" s="10"/>
      <c r="L203" s="155" t="s">
        <v>226</v>
      </c>
      <c r="M203" s="156"/>
      <c r="N203" s="156"/>
      <c r="O203" s="156"/>
      <c r="P203" s="156"/>
      <c r="Q203" s="148"/>
      <c r="R203" s="149"/>
      <c r="S203" s="153"/>
    </row>
    <row r="204" spans="1:19" ht="13.5" customHeight="1" thickBot="1" x14ac:dyDescent="0.3">
      <c r="A204" s="10"/>
      <c r="B204" s="157" t="s">
        <v>227</v>
      </c>
      <c r="C204" s="158"/>
      <c r="D204" s="158"/>
      <c r="E204" s="158"/>
      <c r="F204" s="158"/>
      <c r="G204" s="148"/>
      <c r="H204" s="149"/>
      <c r="I204" s="154"/>
      <c r="J204" s="56"/>
      <c r="K204" s="10"/>
      <c r="L204" s="157" t="s">
        <v>227</v>
      </c>
      <c r="M204" s="158"/>
      <c r="N204" s="158"/>
      <c r="O204" s="158"/>
      <c r="P204" s="158"/>
      <c r="Q204" s="148"/>
      <c r="R204" s="149"/>
      <c r="S204" s="154"/>
    </row>
    <row r="205" spans="1:19" ht="13.5" customHeight="1" thickBot="1" x14ac:dyDescent="0.3">
      <c r="A205" s="10"/>
      <c r="B205" s="159" t="s">
        <v>228</v>
      </c>
      <c r="C205" s="160"/>
      <c r="D205" s="160"/>
      <c r="E205" s="160"/>
      <c r="F205" s="160"/>
      <c r="G205" s="150"/>
      <c r="H205" s="151"/>
      <c r="I205" s="11" t="s">
        <v>229</v>
      </c>
      <c r="J205" s="57"/>
      <c r="K205" s="10"/>
      <c r="L205" s="159" t="s">
        <v>228</v>
      </c>
      <c r="M205" s="160"/>
      <c r="N205" s="160"/>
      <c r="O205" s="160"/>
      <c r="P205" s="160"/>
      <c r="Q205" s="150"/>
      <c r="R205" s="151"/>
      <c r="S205" s="11" t="s">
        <v>229</v>
      </c>
    </row>
    <row r="206" spans="1:19" ht="13.5" customHeight="1" x14ac:dyDescent="0.25">
      <c r="A206" s="12"/>
      <c r="B206" s="125" t="s">
        <v>230</v>
      </c>
      <c r="C206" s="126"/>
      <c r="D206" s="126"/>
      <c r="E206" s="126"/>
      <c r="F206" s="126"/>
      <c r="G206" s="86">
        <f>0.04*12*F191</f>
        <v>1073.472</v>
      </c>
      <c r="H206" s="87"/>
      <c r="I206" s="129" t="s">
        <v>220</v>
      </c>
      <c r="J206" s="43"/>
      <c r="K206" s="12"/>
      <c r="L206" s="125" t="s">
        <v>230</v>
      </c>
      <c r="M206" s="126"/>
      <c r="N206" s="126"/>
      <c r="O206" s="126"/>
      <c r="P206" s="126"/>
      <c r="Q206" s="86">
        <f>0.04*12*P191</f>
        <v>1032.864</v>
      </c>
      <c r="R206" s="87"/>
      <c r="S206" s="129" t="s">
        <v>220</v>
      </c>
    </row>
    <row r="207" spans="1:19" ht="13.5" customHeight="1" thickBot="1" x14ac:dyDescent="0.3">
      <c r="A207" s="7"/>
      <c r="B207" s="131" t="s">
        <v>231</v>
      </c>
      <c r="C207" s="132"/>
      <c r="D207" s="132"/>
      <c r="E207" s="132"/>
      <c r="F207" s="132"/>
      <c r="G207" s="127"/>
      <c r="H207" s="128"/>
      <c r="I207" s="130"/>
      <c r="J207" s="43"/>
      <c r="K207" s="7"/>
      <c r="L207" s="131" t="s">
        <v>231</v>
      </c>
      <c r="M207" s="132"/>
      <c r="N207" s="132"/>
      <c r="O207" s="132"/>
      <c r="P207" s="132"/>
      <c r="Q207" s="127"/>
      <c r="R207" s="128"/>
      <c r="S207" s="130"/>
    </row>
    <row r="208" spans="1:19" ht="15.75" customHeight="1" thickBot="1" x14ac:dyDescent="0.3">
      <c r="A208" s="13"/>
      <c r="B208" s="133" t="s">
        <v>232</v>
      </c>
      <c r="C208" s="134"/>
      <c r="D208" s="134"/>
      <c r="E208" s="134"/>
      <c r="F208" s="134"/>
      <c r="G208" s="135"/>
      <c r="H208" s="136"/>
      <c r="I208" s="14"/>
      <c r="J208" s="43"/>
      <c r="K208" s="13"/>
      <c r="L208" s="133" t="s">
        <v>232</v>
      </c>
      <c r="M208" s="134"/>
      <c r="N208" s="134"/>
      <c r="O208" s="134"/>
      <c r="P208" s="134"/>
      <c r="Q208" s="135"/>
      <c r="R208" s="136"/>
      <c r="S208" s="14"/>
    </row>
    <row r="209" spans="1:19" ht="15.75" customHeight="1" thickBot="1" x14ac:dyDescent="0.3">
      <c r="A209" s="13"/>
      <c r="B209" s="84" t="s">
        <v>233</v>
      </c>
      <c r="C209" s="85"/>
      <c r="D209" s="85"/>
      <c r="E209" s="85"/>
      <c r="F209" s="85"/>
      <c r="G209" s="86">
        <f>1.4*12*F191</f>
        <v>37571.519999999997</v>
      </c>
      <c r="H209" s="87"/>
      <c r="I209" s="92" t="s">
        <v>570</v>
      </c>
      <c r="J209" s="58"/>
      <c r="K209" s="13"/>
      <c r="L209" s="84" t="s">
        <v>233</v>
      </c>
      <c r="M209" s="85"/>
      <c r="N209" s="85"/>
      <c r="O209" s="85"/>
      <c r="P209" s="85"/>
      <c r="Q209" s="86">
        <f>0.99*12*P191</f>
        <v>25563.384000000002</v>
      </c>
      <c r="R209" s="87"/>
      <c r="S209" s="92" t="s">
        <v>571</v>
      </c>
    </row>
    <row r="210" spans="1:19" ht="31.5" customHeight="1" x14ac:dyDescent="0.25">
      <c r="A210" s="118"/>
      <c r="B210" s="121" t="s">
        <v>226</v>
      </c>
      <c r="C210" s="122"/>
      <c r="D210" s="122"/>
      <c r="E210" s="122"/>
      <c r="F210" s="122"/>
      <c r="G210" s="88"/>
      <c r="H210" s="89"/>
      <c r="I210" s="93"/>
      <c r="J210" s="41"/>
      <c r="K210" s="118"/>
      <c r="L210" s="121" t="s">
        <v>226</v>
      </c>
      <c r="M210" s="122"/>
      <c r="N210" s="122"/>
      <c r="O210" s="122"/>
      <c r="P210" s="122"/>
      <c r="Q210" s="88"/>
      <c r="R210" s="89"/>
      <c r="S210" s="93"/>
    </row>
    <row r="211" spans="1:19" ht="30.75" customHeight="1" x14ac:dyDescent="0.25">
      <c r="A211" s="119"/>
      <c r="B211" s="121" t="s">
        <v>227</v>
      </c>
      <c r="C211" s="122"/>
      <c r="D211" s="122"/>
      <c r="E211" s="122"/>
      <c r="F211" s="122"/>
      <c r="G211" s="88"/>
      <c r="H211" s="89"/>
      <c r="I211" s="93"/>
      <c r="J211" s="41"/>
      <c r="K211" s="119"/>
      <c r="L211" s="121" t="s">
        <v>227</v>
      </c>
      <c r="M211" s="122"/>
      <c r="N211" s="122"/>
      <c r="O211" s="122"/>
      <c r="P211" s="122"/>
      <c r="Q211" s="88"/>
      <c r="R211" s="89"/>
      <c r="S211" s="93"/>
    </row>
    <row r="212" spans="1:19" ht="36" customHeight="1" x14ac:dyDescent="0.25">
      <c r="A212" s="119"/>
      <c r="B212" s="121" t="s">
        <v>228</v>
      </c>
      <c r="C212" s="122"/>
      <c r="D212" s="122"/>
      <c r="E212" s="122"/>
      <c r="F212" s="122"/>
      <c r="G212" s="88"/>
      <c r="H212" s="89"/>
      <c r="I212" s="93"/>
      <c r="J212" s="41"/>
      <c r="K212" s="119"/>
      <c r="L212" s="121" t="s">
        <v>228</v>
      </c>
      <c r="M212" s="122"/>
      <c r="N212" s="122"/>
      <c r="O212" s="122"/>
      <c r="P212" s="122"/>
      <c r="Q212" s="88"/>
      <c r="R212" s="89"/>
      <c r="S212" s="93"/>
    </row>
    <row r="213" spans="1:19" ht="42.6" customHeight="1" thickBot="1" x14ac:dyDescent="0.3">
      <c r="A213" s="120"/>
      <c r="B213" s="123" t="s">
        <v>234</v>
      </c>
      <c r="C213" s="124"/>
      <c r="D213" s="124"/>
      <c r="E213" s="124"/>
      <c r="F213" s="124"/>
      <c r="G213" s="90"/>
      <c r="H213" s="91"/>
      <c r="I213" s="94"/>
      <c r="J213" s="41"/>
      <c r="K213" s="120"/>
      <c r="L213" s="123" t="s">
        <v>234</v>
      </c>
      <c r="M213" s="124"/>
      <c r="N213" s="124"/>
      <c r="O213" s="124"/>
      <c r="P213" s="124"/>
      <c r="Q213" s="90"/>
      <c r="R213" s="91"/>
      <c r="S213" s="94"/>
    </row>
    <row r="214" spans="1:19" ht="28.5" hidden="1" customHeight="1" x14ac:dyDescent="0.25">
      <c r="A214" s="15"/>
      <c r="B214" s="137" t="s">
        <v>248</v>
      </c>
      <c r="C214" s="138"/>
      <c r="D214" s="138"/>
      <c r="E214" s="138"/>
      <c r="F214" s="138"/>
      <c r="G214" s="139"/>
      <c r="H214" s="140"/>
      <c r="I214" s="16"/>
      <c r="J214" s="42"/>
      <c r="K214" s="15"/>
      <c r="L214" s="137" t="s">
        <v>248</v>
      </c>
      <c r="M214" s="138"/>
      <c r="N214" s="138"/>
      <c r="O214" s="138"/>
      <c r="P214" s="138"/>
      <c r="Q214" s="139"/>
      <c r="R214" s="140"/>
      <c r="S214" s="16"/>
    </row>
    <row r="215" spans="1:19" ht="2.25" customHeight="1" thickBot="1" x14ac:dyDescent="0.3">
      <c r="A215" s="15"/>
      <c r="B215" s="137" t="s">
        <v>235</v>
      </c>
      <c r="C215" s="138"/>
      <c r="D215" s="138"/>
      <c r="E215" s="138"/>
      <c r="F215" s="138"/>
      <c r="G215" s="139"/>
      <c r="H215" s="140"/>
      <c r="I215" s="16"/>
      <c r="J215" s="43"/>
      <c r="K215" s="15"/>
      <c r="L215" s="137" t="s">
        <v>235</v>
      </c>
      <c r="M215" s="138"/>
      <c r="N215" s="138"/>
      <c r="O215" s="138"/>
      <c r="P215" s="138"/>
      <c r="Q215" s="139"/>
      <c r="R215" s="140"/>
      <c r="S215" s="16"/>
    </row>
    <row r="216" spans="1:19" ht="31.5" customHeight="1" thickBot="1" x14ac:dyDescent="0.3">
      <c r="A216" s="17"/>
      <c r="B216" s="78" t="s">
        <v>237</v>
      </c>
      <c r="C216" s="79"/>
      <c r="D216" s="79"/>
      <c r="E216" s="79"/>
      <c r="F216" s="79"/>
      <c r="G216" s="86">
        <f>3462+3325</f>
        <v>6787</v>
      </c>
      <c r="H216" s="87"/>
      <c r="I216" s="108" t="s">
        <v>229</v>
      </c>
      <c r="J216" s="59"/>
      <c r="K216" s="17"/>
      <c r="L216" s="78" t="s">
        <v>237</v>
      </c>
      <c r="M216" s="79"/>
      <c r="N216" s="79"/>
      <c r="O216" s="79"/>
      <c r="P216" s="79"/>
      <c r="Q216" s="86">
        <f>3508+8972</f>
        <v>12480</v>
      </c>
      <c r="R216" s="87"/>
      <c r="S216" s="108" t="s">
        <v>229</v>
      </c>
    </row>
    <row r="217" spans="1:19" ht="15.75" customHeight="1" thickBot="1" x14ac:dyDescent="0.3">
      <c r="A217" s="18"/>
      <c r="B217" s="110" t="s">
        <v>238</v>
      </c>
      <c r="C217" s="111"/>
      <c r="D217" s="111"/>
      <c r="E217" s="111"/>
      <c r="F217" s="111"/>
      <c r="G217" s="90"/>
      <c r="H217" s="91"/>
      <c r="I217" s="109"/>
      <c r="J217" s="59"/>
      <c r="K217" s="18"/>
      <c r="L217" s="110" t="s">
        <v>238</v>
      </c>
      <c r="M217" s="111"/>
      <c r="N217" s="111"/>
      <c r="O217" s="111"/>
      <c r="P217" s="111"/>
      <c r="Q217" s="90"/>
      <c r="R217" s="91"/>
      <c r="S217" s="109"/>
    </row>
    <row r="218" spans="1:19" ht="13.5" customHeight="1" thickBot="1" x14ac:dyDescent="0.3">
      <c r="A218" s="19"/>
      <c r="B218" s="112" t="s">
        <v>239</v>
      </c>
      <c r="C218" s="113"/>
      <c r="D218" s="113"/>
      <c r="E218" s="113"/>
      <c r="F218" s="113"/>
      <c r="G218" s="114">
        <f>SUM(G197:H217)</f>
        <v>174310.96</v>
      </c>
      <c r="H218" s="115"/>
      <c r="I218" s="20"/>
      <c r="J218" s="58"/>
      <c r="K218" s="19"/>
      <c r="L218" s="112" t="s">
        <v>239</v>
      </c>
      <c r="M218" s="113"/>
      <c r="N218" s="113"/>
      <c r="O218" s="113"/>
      <c r="P218" s="113"/>
      <c r="Q218" s="114">
        <f>SUM(Q197:R217)</f>
        <v>160269.35999999999</v>
      </c>
      <c r="R218" s="115"/>
      <c r="S218" s="20"/>
    </row>
    <row r="219" spans="1:19" ht="24.75" customHeight="1" thickBot="1" x14ac:dyDescent="0.3">
      <c r="A219" s="21"/>
      <c r="B219" s="101" t="s">
        <v>240</v>
      </c>
      <c r="C219" s="102"/>
      <c r="D219" s="102"/>
      <c r="E219" s="102"/>
      <c r="F219" s="102"/>
      <c r="G219" s="116">
        <f>G218*1.2</f>
        <v>209173.15199999997</v>
      </c>
      <c r="H219" s="117"/>
      <c r="I219" s="22"/>
      <c r="J219" s="45"/>
      <c r="K219" s="21"/>
      <c r="L219" s="101" t="s">
        <v>240</v>
      </c>
      <c r="M219" s="102"/>
      <c r="N219" s="102"/>
      <c r="O219" s="102"/>
      <c r="P219" s="102"/>
      <c r="Q219" s="116">
        <f>Q218*1.2</f>
        <v>192323.23199999999</v>
      </c>
      <c r="R219" s="117"/>
      <c r="S219" s="22"/>
    </row>
    <row r="220" spans="1:19" ht="24.75" customHeight="1" thickBot="1" x14ac:dyDescent="0.3">
      <c r="A220" s="24"/>
      <c r="B220" s="96" t="s">
        <v>443</v>
      </c>
      <c r="C220" s="97"/>
      <c r="D220" s="97"/>
      <c r="E220" s="97"/>
      <c r="F220" s="97"/>
      <c r="G220" s="311">
        <v>213718.31</v>
      </c>
      <c r="H220" s="312"/>
      <c r="I220" s="313"/>
      <c r="J220" s="41"/>
      <c r="K220" s="24"/>
      <c r="L220" s="96" t="s">
        <v>443</v>
      </c>
      <c r="M220" s="97"/>
      <c r="N220" s="97"/>
      <c r="O220" s="97"/>
      <c r="P220" s="97"/>
      <c r="Q220" s="311">
        <v>192346.64</v>
      </c>
      <c r="R220" s="312"/>
      <c r="S220" s="313"/>
    </row>
    <row r="221" spans="1:19" ht="24.75" customHeight="1" thickBot="1" x14ac:dyDescent="0.3">
      <c r="A221" s="19"/>
      <c r="B221" s="101" t="s">
        <v>242</v>
      </c>
      <c r="C221" s="102"/>
      <c r="D221" s="102"/>
      <c r="E221" s="102"/>
      <c r="F221" s="102"/>
      <c r="G221" s="307">
        <v>208135.61</v>
      </c>
      <c r="H221" s="308"/>
      <c r="I221" s="309"/>
      <c r="J221" s="41"/>
      <c r="K221" s="19"/>
      <c r="L221" s="101" t="s">
        <v>242</v>
      </c>
      <c r="M221" s="102"/>
      <c r="N221" s="102"/>
      <c r="O221" s="102"/>
      <c r="P221" s="102"/>
      <c r="Q221" s="307">
        <v>188277.32</v>
      </c>
      <c r="R221" s="308"/>
      <c r="S221" s="309"/>
    </row>
    <row r="222" spans="1:19" ht="24.75" customHeight="1" thickBot="1" x14ac:dyDescent="0.3">
      <c r="A222" s="19"/>
      <c r="B222" s="106" t="s">
        <v>444</v>
      </c>
      <c r="C222" s="107"/>
      <c r="D222" s="107"/>
      <c r="E222" s="107"/>
      <c r="F222" s="107"/>
      <c r="G222" s="307">
        <v>30676.12</v>
      </c>
      <c r="H222" s="308"/>
      <c r="I222" s="309"/>
      <c r="J222" s="64"/>
      <c r="K222" s="19"/>
      <c r="L222" s="106" t="s">
        <v>444</v>
      </c>
      <c r="M222" s="107"/>
      <c r="N222" s="107"/>
      <c r="O222" s="107"/>
      <c r="P222" s="107"/>
      <c r="Q222" s="307">
        <v>28649.07</v>
      </c>
      <c r="R222" s="308"/>
      <c r="S222" s="309"/>
    </row>
    <row r="223" spans="1:19" ht="29.45" customHeight="1" x14ac:dyDescent="0.25">
      <c r="A223" s="4"/>
      <c r="B223" s="195" t="s">
        <v>569</v>
      </c>
      <c r="C223" s="195"/>
      <c r="D223" s="195"/>
      <c r="E223" s="195"/>
      <c r="F223" s="195"/>
      <c r="G223" s="195"/>
      <c r="H223" s="195"/>
      <c r="I223" s="195"/>
      <c r="K223" s="4"/>
      <c r="L223" s="26"/>
      <c r="M223" s="26"/>
      <c r="N223" s="26"/>
      <c r="O223" s="26"/>
      <c r="P223" s="26"/>
      <c r="Q223" s="27"/>
      <c r="R223" s="3"/>
      <c r="S223" s="3"/>
    </row>
    <row r="225" spans="1:19" x14ac:dyDescent="0.25">
      <c r="A225" s="3"/>
      <c r="B225" s="3"/>
      <c r="C225" s="3"/>
      <c r="D225" s="3"/>
      <c r="E225" s="4" t="s">
        <v>204</v>
      </c>
      <c r="F225" s="3"/>
      <c r="G225" s="3"/>
      <c r="H225" s="3"/>
      <c r="I225" s="3"/>
      <c r="K225" s="3"/>
      <c r="L225" s="3"/>
      <c r="M225" s="3"/>
      <c r="N225" s="3"/>
      <c r="O225" s="4" t="s">
        <v>204</v>
      </c>
      <c r="P225" s="3"/>
      <c r="Q225" s="3"/>
      <c r="R225" s="3"/>
      <c r="S225" s="3"/>
    </row>
    <row r="226" spans="1:19" x14ac:dyDescent="0.25">
      <c r="A226" s="3" t="s">
        <v>205</v>
      </c>
      <c r="B226" s="3"/>
      <c r="C226" s="3"/>
      <c r="D226" s="3" t="s">
        <v>346</v>
      </c>
      <c r="E226" s="3"/>
      <c r="F226" s="3"/>
      <c r="G226" s="3"/>
      <c r="H226" s="3"/>
      <c r="I226" s="3"/>
      <c r="K226" s="3" t="s">
        <v>205</v>
      </c>
      <c r="L226" s="3"/>
      <c r="M226" s="3"/>
      <c r="N226" s="3" t="s">
        <v>347</v>
      </c>
      <c r="O226" s="3"/>
      <c r="P226" s="3"/>
      <c r="Q226" s="3"/>
      <c r="R226" s="3"/>
      <c r="S226" s="3"/>
    </row>
    <row r="227" spans="1:19" x14ac:dyDescent="0.25">
      <c r="A227" s="3"/>
      <c r="B227" s="5" t="s">
        <v>440</v>
      </c>
      <c r="C227" s="3"/>
      <c r="D227" s="3"/>
      <c r="E227" s="3"/>
      <c r="F227" s="3"/>
      <c r="G227" s="3"/>
      <c r="H227" s="3"/>
      <c r="I227" s="3"/>
      <c r="K227" s="3"/>
      <c r="L227" s="5" t="s">
        <v>440</v>
      </c>
      <c r="M227" s="3"/>
      <c r="N227" s="3"/>
      <c r="O227" s="3"/>
      <c r="P227" s="3"/>
      <c r="Q227" s="3"/>
      <c r="R227" s="3"/>
      <c r="S227" s="3"/>
    </row>
    <row r="228" spans="1:19" x14ac:dyDescent="0.25">
      <c r="A228" s="3"/>
      <c r="B228" s="5" t="s">
        <v>206</v>
      </c>
      <c r="C228" s="3"/>
      <c r="D228" s="3"/>
      <c r="E228" s="3"/>
      <c r="F228" s="3">
        <f>'[1]ж-2.2'!$E$9</f>
        <v>2555.6999999999998</v>
      </c>
      <c r="G228" s="3" t="s">
        <v>207</v>
      </c>
      <c r="H228" s="3"/>
      <c r="I228" s="3"/>
      <c r="K228" s="3"/>
      <c r="L228" s="5" t="s">
        <v>206</v>
      </c>
      <c r="M228" s="3"/>
      <c r="N228" s="3"/>
      <c r="O228" s="3"/>
      <c r="P228" s="3">
        <f>'[1]ж-2.2'!$F$9</f>
        <v>4278.1000000000004</v>
      </c>
      <c r="Q228" s="3" t="s">
        <v>207</v>
      </c>
      <c r="R228" s="3"/>
      <c r="S228" s="3"/>
    </row>
    <row r="229" spans="1:19" ht="15.75" thickBot="1" x14ac:dyDescent="0.3">
      <c r="A229" s="3"/>
      <c r="B229" s="3"/>
      <c r="C229" s="3"/>
      <c r="D229" s="4"/>
      <c r="E229" s="4"/>
      <c r="F229" s="3"/>
      <c r="G229" s="3"/>
      <c r="H229" s="3"/>
      <c r="I229" s="3"/>
      <c r="K229" s="3"/>
      <c r="L229" s="3"/>
      <c r="M229" s="3"/>
      <c r="N229" s="4"/>
      <c r="O229" s="4"/>
      <c r="P229" s="3"/>
      <c r="Q229" s="3"/>
      <c r="R229" s="3"/>
      <c r="S229" s="3"/>
    </row>
    <row r="230" spans="1:19" ht="15" customHeight="1" x14ac:dyDescent="0.25">
      <c r="A230" s="175" t="s">
        <v>209</v>
      </c>
      <c r="B230" s="177" t="s">
        <v>210</v>
      </c>
      <c r="C230" s="178"/>
      <c r="D230" s="178"/>
      <c r="E230" s="178"/>
      <c r="F230" s="178"/>
      <c r="G230" s="180" t="s">
        <v>442</v>
      </c>
      <c r="H230" s="181"/>
      <c r="I230" s="175" t="s">
        <v>212</v>
      </c>
      <c r="K230" s="175" t="s">
        <v>209</v>
      </c>
      <c r="L230" s="177" t="s">
        <v>210</v>
      </c>
      <c r="M230" s="178"/>
      <c r="N230" s="178"/>
      <c r="O230" s="178"/>
      <c r="P230" s="178"/>
      <c r="Q230" s="180" t="s">
        <v>442</v>
      </c>
      <c r="R230" s="181"/>
      <c r="S230" s="175" t="s">
        <v>212</v>
      </c>
    </row>
    <row r="231" spans="1:19" ht="54" customHeight="1" thickBot="1" x14ac:dyDescent="0.3">
      <c r="A231" s="176"/>
      <c r="B231" s="179"/>
      <c r="C231" s="179"/>
      <c r="D231" s="179"/>
      <c r="E231" s="179"/>
      <c r="F231" s="179"/>
      <c r="G231" s="182"/>
      <c r="H231" s="183"/>
      <c r="I231" s="184"/>
      <c r="K231" s="176"/>
      <c r="L231" s="179"/>
      <c r="M231" s="179"/>
      <c r="N231" s="179"/>
      <c r="O231" s="179"/>
      <c r="P231" s="179"/>
      <c r="Q231" s="182"/>
      <c r="R231" s="183"/>
      <c r="S231" s="184"/>
    </row>
    <row r="232" spans="1:19" ht="15" customHeight="1" x14ac:dyDescent="0.25">
      <c r="A232" s="185" t="s">
        <v>213</v>
      </c>
      <c r="B232" s="187" t="s">
        <v>354</v>
      </c>
      <c r="C232" s="188"/>
      <c r="D232" s="188"/>
      <c r="E232" s="188"/>
      <c r="F232" s="188"/>
      <c r="G232" s="190">
        <v>85468.37</v>
      </c>
      <c r="H232" s="191"/>
      <c r="I232" s="192"/>
      <c r="K232" s="185" t="s">
        <v>213</v>
      </c>
      <c r="L232" s="187" t="s">
        <v>354</v>
      </c>
      <c r="M232" s="188"/>
      <c r="N232" s="188"/>
      <c r="O232" s="188"/>
      <c r="P232" s="188"/>
      <c r="Q232" s="190">
        <v>147841.32999999999</v>
      </c>
      <c r="R232" s="191"/>
      <c r="S232" s="192"/>
    </row>
    <row r="233" spans="1:19" ht="15.75" thickBot="1" x14ac:dyDescent="0.3">
      <c r="A233" s="186"/>
      <c r="B233" s="189"/>
      <c r="C233" s="189"/>
      <c r="D233" s="189"/>
      <c r="E233" s="189"/>
      <c r="F233" s="189"/>
      <c r="G233" s="193"/>
      <c r="H233" s="194"/>
      <c r="I233" s="128"/>
      <c r="K233" s="186"/>
      <c r="L233" s="189"/>
      <c r="M233" s="189"/>
      <c r="N233" s="189"/>
      <c r="O233" s="189"/>
      <c r="P233" s="189"/>
      <c r="Q233" s="193"/>
      <c r="R233" s="194"/>
      <c r="S233" s="128"/>
    </row>
    <row r="234" spans="1:19" x14ac:dyDescent="0.25">
      <c r="A234" s="6"/>
      <c r="B234" s="161" t="s">
        <v>214</v>
      </c>
      <c r="C234" s="162"/>
      <c r="D234" s="162"/>
      <c r="E234" s="162"/>
      <c r="F234" s="162"/>
      <c r="G234" s="163">
        <f>1.75*12*F228</f>
        <v>53669.7</v>
      </c>
      <c r="H234" s="164"/>
      <c r="I234" s="169" t="s">
        <v>215</v>
      </c>
      <c r="K234" s="6"/>
      <c r="L234" s="161" t="s">
        <v>214</v>
      </c>
      <c r="M234" s="162"/>
      <c r="N234" s="162"/>
      <c r="O234" s="162"/>
      <c r="P234" s="162"/>
      <c r="Q234" s="163">
        <f>1.6*12*P228</f>
        <v>82139.520000000019</v>
      </c>
      <c r="R234" s="164"/>
      <c r="S234" s="169" t="s">
        <v>215</v>
      </c>
    </row>
    <row r="235" spans="1:19" ht="37.5" customHeight="1" thickBot="1" x14ac:dyDescent="0.3">
      <c r="A235" s="7"/>
      <c r="B235" s="171" t="s">
        <v>216</v>
      </c>
      <c r="C235" s="172"/>
      <c r="D235" s="172"/>
      <c r="E235" s="172"/>
      <c r="F235" s="172"/>
      <c r="G235" s="165"/>
      <c r="H235" s="166"/>
      <c r="I235" s="170"/>
      <c r="K235" s="7"/>
      <c r="L235" s="171" t="s">
        <v>216</v>
      </c>
      <c r="M235" s="172"/>
      <c r="N235" s="172"/>
      <c r="O235" s="172"/>
      <c r="P235" s="172"/>
      <c r="Q235" s="165"/>
      <c r="R235" s="166"/>
      <c r="S235" s="170"/>
    </row>
    <row r="236" spans="1:19" ht="15.75" thickBot="1" x14ac:dyDescent="0.3">
      <c r="A236" s="7"/>
      <c r="B236" s="173" t="s">
        <v>217</v>
      </c>
      <c r="C236" s="174"/>
      <c r="D236" s="174"/>
      <c r="E236" s="174"/>
      <c r="F236" s="174"/>
      <c r="G236" s="167"/>
      <c r="H236" s="168"/>
      <c r="I236" s="8" t="s">
        <v>218</v>
      </c>
      <c r="K236" s="7"/>
      <c r="L236" s="173" t="s">
        <v>217</v>
      </c>
      <c r="M236" s="174"/>
      <c r="N236" s="174"/>
      <c r="O236" s="174"/>
      <c r="P236" s="174"/>
      <c r="Q236" s="167"/>
      <c r="R236" s="168"/>
      <c r="S236" s="8" t="s">
        <v>218</v>
      </c>
    </row>
    <row r="237" spans="1:19" ht="15.75" thickBot="1" x14ac:dyDescent="0.3">
      <c r="A237" s="7"/>
      <c r="B237" s="141" t="s">
        <v>219</v>
      </c>
      <c r="C237" s="142"/>
      <c r="D237" s="142"/>
      <c r="E237" s="142"/>
      <c r="F237" s="142"/>
      <c r="G237" s="143">
        <v>0</v>
      </c>
      <c r="H237" s="144"/>
      <c r="I237" s="8" t="s">
        <v>220</v>
      </c>
      <c r="K237" s="7"/>
      <c r="L237" s="141" t="s">
        <v>219</v>
      </c>
      <c r="M237" s="142"/>
      <c r="N237" s="142"/>
      <c r="O237" s="142"/>
      <c r="P237" s="142"/>
      <c r="Q237" s="143">
        <v>0</v>
      </c>
      <c r="R237" s="144"/>
      <c r="S237" s="8" t="s">
        <v>220</v>
      </c>
    </row>
    <row r="238" spans="1:19" ht="15.75" thickBot="1" x14ac:dyDescent="0.3">
      <c r="A238" s="7"/>
      <c r="B238" s="141" t="s">
        <v>221</v>
      </c>
      <c r="C238" s="142"/>
      <c r="D238" s="142"/>
      <c r="E238" s="142"/>
      <c r="F238" s="142"/>
      <c r="G238" s="143">
        <f>0.47*12*F228</f>
        <v>14414.147999999997</v>
      </c>
      <c r="H238" s="144"/>
      <c r="I238" s="8" t="s">
        <v>222</v>
      </c>
      <c r="K238" s="7"/>
      <c r="L238" s="141" t="s">
        <v>221</v>
      </c>
      <c r="M238" s="142"/>
      <c r="N238" s="142"/>
      <c r="O238" s="142"/>
      <c r="P238" s="142"/>
      <c r="Q238" s="143">
        <f>0.474*12*P228</f>
        <v>24333.8328</v>
      </c>
      <c r="R238" s="144"/>
      <c r="S238" s="8" t="s">
        <v>222</v>
      </c>
    </row>
    <row r="239" spans="1:19" x14ac:dyDescent="0.25">
      <c r="A239" s="9"/>
      <c r="B239" s="145" t="s">
        <v>223</v>
      </c>
      <c r="C239" s="146"/>
      <c r="D239" s="146"/>
      <c r="E239" s="146"/>
      <c r="F239" s="146"/>
      <c r="G239" s="86">
        <f>2.15*12*F228</f>
        <v>65937.059999999983</v>
      </c>
      <c r="H239" s="147"/>
      <c r="I239" s="152" t="s">
        <v>224</v>
      </c>
      <c r="K239" s="9"/>
      <c r="L239" s="145" t="s">
        <v>223</v>
      </c>
      <c r="M239" s="146"/>
      <c r="N239" s="146"/>
      <c r="O239" s="146"/>
      <c r="P239" s="146"/>
      <c r="Q239" s="86">
        <f>1.99*12*P228</f>
        <v>102161.02800000001</v>
      </c>
      <c r="R239" s="147"/>
      <c r="S239" s="152" t="s">
        <v>224</v>
      </c>
    </row>
    <row r="240" spans="1:19" x14ac:dyDescent="0.25">
      <c r="A240" s="10"/>
      <c r="B240" s="155" t="s">
        <v>226</v>
      </c>
      <c r="C240" s="156"/>
      <c r="D240" s="156"/>
      <c r="E240" s="156"/>
      <c r="F240" s="156"/>
      <c r="G240" s="148"/>
      <c r="H240" s="149"/>
      <c r="I240" s="153"/>
      <c r="K240" s="10"/>
      <c r="L240" s="155" t="s">
        <v>226</v>
      </c>
      <c r="M240" s="156"/>
      <c r="N240" s="156"/>
      <c r="O240" s="156"/>
      <c r="P240" s="156"/>
      <c r="Q240" s="148"/>
      <c r="R240" s="149"/>
      <c r="S240" s="153"/>
    </row>
    <row r="241" spans="1:19" ht="15.75" thickBot="1" x14ac:dyDescent="0.3">
      <c r="A241" s="10"/>
      <c r="B241" s="157" t="s">
        <v>227</v>
      </c>
      <c r="C241" s="158"/>
      <c r="D241" s="158"/>
      <c r="E241" s="158"/>
      <c r="F241" s="158"/>
      <c r="G241" s="148"/>
      <c r="H241" s="149"/>
      <c r="I241" s="154"/>
      <c r="K241" s="10"/>
      <c r="L241" s="157" t="s">
        <v>227</v>
      </c>
      <c r="M241" s="158"/>
      <c r="N241" s="158"/>
      <c r="O241" s="158"/>
      <c r="P241" s="158"/>
      <c r="Q241" s="148"/>
      <c r="R241" s="149"/>
      <c r="S241" s="154"/>
    </row>
    <row r="242" spans="1:19" ht="15.75" thickBot="1" x14ac:dyDescent="0.3">
      <c r="A242" s="10"/>
      <c r="B242" s="159" t="s">
        <v>228</v>
      </c>
      <c r="C242" s="160"/>
      <c r="D242" s="160"/>
      <c r="E242" s="160"/>
      <c r="F242" s="160"/>
      <c r="G242" s="150"/>
      <c r="H242" s="151"/>
      <c r="I242" s="11" t="s">
        <v>229</v>
      </c>
      <c r="K242" s="10"/>
      <c r="L242" s="159" t="s">
        <v>228</v>
      </c>
      <c r="M242" s="160"/>
      <c r="N242" s="160"/>
      <c r="O242" s="160"/>
      <c r="P242" s="160"/>
      <c r="Q242" s="150"/>
      <c r="R242" s="151"/>
      <c r="S242" s="11" t="s">
        <v>229</v>
      </c>
    </row>
    <row r="243" spans="1:19" x14ac:dyDescent="0.25">
      <c r="A243" s="12"/>
      <c r="B243" s="125" t="s">
        <v>230</v>
      </c>
      <c r="C243" s="126"/>
      <c r="D243" s="126"/>
      <c r="E243" s="126"/>
      <c r="F243" s="126"/>
      <c r="G243" s="86">
        <f>0.048*12*F228</f>
        <v>1472.0832</v>
      </c>
      <c r="H243" s="87"/>
      <c r="I243" s="129" t="s">
        <v>220</v>
      </c>
      <c r="K243" s="12"/>
      <c r="L243" s="125" t="s">
        <v>230</v>
      </c>
      <c r="M243" s="126"/>
      <c r="N243" s="126"/>
      <c r="O243" s="126"/>
      <c r="P243" s="126"/>
      <c r="Q243" s="86">
        <f>0.048*12*P228</f>
        <v>2464.1856000000007</v>
      </c>
      <c r="R243" s="87"/>
      <c r="S243" s="129" t="s">
        <v>220</v>
      </c>
    </row>
    <row r="244" spans="1:19" ht="15.75" thickBot="1" x14ac:dyDescent="0.3">
      <c r="A244" s="7"/>
      <c r="B244" s="131" t="s">
        <v>231</v>
      </c>
      <c r="C244" s="132"/>
      <c r="D244" s="132"/>
      <c r="E244" s="132"/>
      <c r="F244" s="132"/>
      <c r="G244" s="127"/>
      <c r="H244" s="128"/>
      <c r="I244" s="130"/>
      <c r="K244" s="7"/>
      <c r="L244" s="131" t="s">
        <v>231</v>
      </c>
      <c r="M244" s="132"/>
      <c r="N244" s="132"/>
      <c r="O244" s="132"/>
      <c r="P244" s="132"/>
      <c r="Q244" s="127"/>
      <c r="R244" s="128"/>
      <c r="S244" s="130"/>
    </row>
    <row r="245" spans="1:19" ht="15.75" thickBot="1" x14ac:dyDescent="0.3">
      <c r="A245" s="13"/>
      <c r="B245" s="133" t="s">
        <v>232</v>
      </c>
      <c r="C245" s="134"/>
      <c r="D245" s="134"/>
      <c r="E245" s="134"/>
      <c r="F245" s="134"/>
      <c r="G245" s="135"/>
      <c r="H245" s="136"/>
      <c r="I245" s="14"/>
      <c r="K245" s="13"/>
      <c r="L245" s="133" t="s">
        <v>232</v>
      </c>
      <c r="M245" s="134"/>
      <c r="N245" s="134"/>
      <c r="O245" s="134"/>
      <c r="P245" s="134"/>
      <c r="Q245" s="135"/>
      <c r="R245" s="136"/>
      <c r="S245" s="14"/>
    </row>
    <row r="246" spans="1:19" ht="31.5" customHeight="1" thickBot="1" x14ac:dyDescent="0.3">
      <c r="A246" s="13"/>
      <c r="B246" s="84" t="s">
        <v>233</v>
      </c>
      <c r="C246" s="85"/>
      <c r="D246" s="85"/>
      <c r="E246" s="85"/>
      <c r="F246" s="85"/>
      <c r="G246" s="86">
        <f>1.6*12*F228</f>
        <v>49069.440000000002</v>
      </c>
      <c r="H246" s="87"/>
      <c r="I246" s="92" t="s">
        <v>573</v>
      </c>
      <c r="K246" s="13"/>
      <c r="L246" s="84" t="s">
        <v>233</v>
      </c>
      <c r="M246" s="85"/>
      <c r="N246" s="85"/>
      <c r="O246" s="85"/>
      <c r="P246" s="85"/>
      <c r="Q246" s="86">
        <f>1.3*12*P228</f>
        <v>66738.360000000015</v>
      </c>
      <c r="R246" s="87"/>
      <c r="S246" s="92" t="s">
        <v>574</v>
      </c>
    </row>
    <row r="247" spans="1:19" ht="27" customHeight="1" x14ac:dyDescent="0.25">
      <c r="A247" s="118"/>
      <c r="B247" s="121" t="s">
        <v>226</v>
      </c>
      <c r="C247" s="122"/>
      <c r="D247" s="122"/>
      <c r="E247" s="122"/>
      <c r="F247" s="122"/>
      <c r="G247" s="88"/>
      <c r="H247" s="89"/>
      <c r="I247" s="93"/>
      <c r="K247" s="118"/>
      <c r="L247" s="121" t="s">
        <v>226</v>
      </c>
      <c r="M247" s="122"/>
      <c r="N247" s="122"/>
      <c r="O247" s="122"/>
      <c r="P247" s="122"/>
      <c r="Q247" s="88"/>
      <c r="R247" s="89"/>
      <c r="S247" s="93"/>
    </row>
    <row r="248" spans="1:19" ht="34.5" customHeight="1" x14ac:dyDescent="0.25">
      <c r="A248" s="119"/>
      <c r="B248" s="121" t="s">
        <v>227</v>
      </c>
      <c r="C248" s="122"/>
      <c r="D248" s="122"/>
      <c r="E248" s="122"/>
      <c r="F248" s="122"/>
      <c r="G248" s="88"/>
      <c r="H248" s="89"/>
      <c r="I248" s="93"/>
      <c r="K248" s="119"/>
      <c r="L248" s="121" t="s">
        <v>227</v>
      </c>
      <c r="M248" s="122"/>
      <c r="N248" s="122"/>
      <c r="O248" s="122"/>
      <c r="P248" s="122"/>
      <c r="Q248" s="88"/>
      <c r="R248" s="89"/>
      <c r="S248" s="93"/>
    </row>
    <row r="249" spans="1:19" ht="30" customHeight="1" x14ac:dyDescent="0.25">
      <c r="A249" s="119"/>
      <c r="B249" s="121" t="s">
        <v>228</v>
      </c>
      <c r="C249" s="122"/>
      <c r="D249" s="122"/>
      <c r="E249" s="122"/>
      <c r="F249" s="122"/>
      <c r="G249" s="88"/>
      <c r="H249" s="89"/>
      <c r="I249" s="93"/>
      <c r="K249" s="119"/>
      <c r="L249" s="121" t="s">
        <v>228</v>
      </c>
      <c r="M249" s="122"/>
      <c r="N249" s="122"/>
      <c r="O249" s="122"/>
      <c r="P249" s="122"/>
      <c r="Q249" s="88"/>
      <c r="R249" s="89"/>
      <c r="S249" s="93"/>
    </row>
    <row r="250" spans="1:19" ht="33" customHeight="1" thickBot="1" x14ac:dyDescent="0.3">
      <c r="A250" s="120"/>
      <c r="B250" s="123" t="s">
        <v>234</v>
      </c>
      <c r="C250" s="124"/>
      <c r="D250" s="124"/>
      <c r="E250" s="124"/>
      <c r="F250" s="124"/>
      <c r="G250" s="90"/>
      <c r="H250" s="91"/>
      <c r="I250" s="94"/>
      <c r="K250" s="120"/>
      <c r="L250" s="123" t="s">
        <v>234</v>
      </c>
      <c r="M250" s="124"/>
      <c r="N250" s="124"/>
      <c r="O250" s="124"/>
      <c r="P250" s="124"/>
      <c r="Q250" s="90"/>
      <c r="R250" s="91"/>
      <c r="S250" s="94"/>
    </row>
    <row r="251" spans="1:19" ht="2.25" hidden="1" customHeight="1" x14ac:dyDescent="0.25">
      <c r="A251" s="15"/>
      <c r="B251" s="137" t="s">
        <v>248</v>
      </c>
      <c r="C251" s="138"/>
      <c r="D251" s="138"/>
      <c r="E251" s="138"/>
      <c r="F251" s="138"/>
      <c r="G251" s="139"/>
      <c r="H251" s="140"/>
      <c r="I251" s="16"/>
      <c r="K251" s="15"/>
      <c r="L251" s="137" t="s">
        <v>248</v>
      </c>
      <c r="M251" s="138"/>
      <c r="N251" s="138"/>
      <c r="O251" s="138"/>
      <c r="P251" s="138"/>
      <c r="Q251" s="139"/>
      <c r="R251" s="140"/>
      <c r="S251" s="16"/>
    </row>
    <row r="252" spans="1:19" ht="36" hidden="1" customHeight="1" x14ac:dyDescent="0.25">
      <c r="A252" s="15"/>
      <c r="B252" s="137" t="s">
        <v>235</v>
      </c>
      <c r="C252" s="138"/>
      <c r="D252" s="138"/>
      <c r="E252" s="138"/>
      <c r="F252" s="138"/>
      <c r="G252" s="139"/>
      <c r="H252" s="140"/>
      <c r="I252" s="16"/>
      <c r="K252" s="15"/>
      <c r="L252" s="137" t="s">
        <v>235</v>
      </c>
      <c r="M252" s="138"/>
      <c r="N252" s="138"/>
      <c r="O252" s="138"/>
      <c r="P252" s="138"/>
      <c r="Q252" s="139"/>
      <c r="R252" s="140"/>
      <c r="S252" s="16"/>
    </row>
    <row r="253" spans="1:19" ht="29.25" customHeight="1" thickBot="1" x14ac:dyDescent="0.3">
      <c r="A253" s="17"/>
      <c r="B253" s="78" t="s">
        <v>237</v>
      </c>
      <c r="C253" s="79"/>
      <c r="D253" s="79"/>
      <c r="E253" s="79"/>
      <c r="F253" s="79"/>
      <c r="G253" s="86">
        <v>3223</v>
      </c>
      <c r="H253" s="87"/>
      <c r="I253" s="108" t="s">
        <v>229</v>
      </c>
      <c r="K253" s="17"/>
      <c r="L253" s="78" t="s">
        <v>237</v>
      </c>
      <c r="M253" s="79"/>
      <c r="N253" s="79"/>
      <c r="O253" s="79"/>
      <c r="P253" s="79"/>
      <c r="Q253" s="86">
        <v>5100</v>
      </c>
      <c r="R253" s="87"/>
      <c r="S253" s="108" t="s">
        <v>229</v>
      </c>
    </row>
    <row r="254" spans="1:19" ht="15.75" thickBot="1" x14ac:dyDescent="0.3">
      <c r="A254" s="18"/>
      <c r="B254" s="110" t="s">
        <v>238</v>
      </c>
      <c r="C254" s="111"/>
      <c r="D254" s="111"/>
      <c r="E254" s="111"/>
      <c r="F254" s="111"/>
      <c r="G254" s="90"/>
      <c r="H254" s="91"/>
      <c r="I254" s="109"/>
      <c r="K254" s="18"/>
      <c r="L254" s="110" t="s">
        <v>238</v>
      </c>
      <c r="M254" s="111"/>
      <c r="N254" s="111"/>
      <c r="O254" s="111"/>
      <c r="P254" s="111"/>
      <c r="Q254" s="90"/>
      <c r="R254" s="91"/>
      <c r="S254" s="109"/>
    </row>
    <row r="255" spans="1:19" ht="15.75" thickBot="1" x14ac:dyDescent="0.3">
      <c r="A255" s="19"/>
      <c r="B255" s="112" t="s">
        <v>239</v>
      </c>
      <c r="C255" s="113"/>
      <c r="D255" s="113"/>
      <c r="E255" s="113"/>
      <c r="F255" s="113"/>
      <c r="G255" s="114">
        <f>SUM(G234:H254)</f>
        <v>187785.43119999999</v>
      </c>
      <c r="H255" s="115"/>
      <c r="I255" s="20"/>
      <c r="K255" s="19"/>
      <c r="L255" s="112" t="s">
        <v>239</v>
      </c>
      <c r="M255" s="113"/>
      <c r="N255" s="113"/>
      <c r="O255" s="113"/>
      <c r="P255" s="113"/>
      <c r="Q255" s="114">
        <f>SUM(Q234:R254)</f>
        <v>282936.92640000005</v>
      </c>
      <c r="R255" s="115"/>
      <c r="S255" s="20"/>
    </row>
    <row r="256" spans="1:19" ht="20.25" customHeight="1" thickBot="1" x14ac:dyDescent="0.3">
      <c r="A256" s="21"/>
      <c r="B256" s="101" t="s">
        <v>240</v>
      </c>
      <c r="C256" s="102"/>
      <c r="D256" s="102"/>
      <c r="E256" s="102"/>
      <c r="F256" s="102"/>
      <c r="G256" s="116">
        <f>G255*1.2</f>
        <v>225342.51744</v>
      </c>
      <c r="H256" s="117"/>
      <c r="I256" s="22"/>
      <c r="K256" s="21"/>
      <c r="L256" s="101" t="s">
        <v>240</v>
      </c>
      <c r="M256" s="102"/>
      <c r="N256" s="102"/>
      <c r="O256" s="102"/>
      <c r="P256" s="102"/>
      <c r="Q256" s="116">
        <f>Q255*1.2</f>
        <v>339524.31168000004</v>
      </c>
      <c r="R256" s="117"/>
      <c r="S256" s="22"/>
    </row>
    <row r="257" spans="1:19" ht="20.25" customHeight="1" thickBot="1" x14ac:dyDescent="0.3">
      <c r="A257" s="24"/>
      <c r="B257" s="96" t="s">
        <v>443</v>
      </c>
      <c r="C257" s="97"/>
      <c r="D257" s="97"/>
      <c r="E257" s="97"/>
      <c r="F257" s="97"/>
      <c r="G257" s="311">
        <v>243768.72</v>
      </c>
      <c r="H257" s="312"/>
      <c r="I257" s="313"/>
      <c r="K257" s="24"/>
      <c r="L257" s="96" t="s">
        <v>443</v>
      </c>
      <c r="M257" s="97"/>
      <c r="N257" s="97"/>
      <c r="O257" s="97"/>
      <c r="P257" s="97"/>
      <c r="Q257" s="311">
        <v>340771.1</v>
      </c>
      <c r="R257" s="312"/>
      <c r="S257" s="313"/>
    </row>
    <row r="258" spans="1:19" ht="20.25" customHeight="1" thickBot="1" x14ac:dyDescent="0.3">
      <c r="A258" s="19"/>
      <c r="B258" s="101" t="s">
        <v>242</v>
      </c>
      <c r="C258" s="102"/>
      <c r="D258" s="102"/>
      <c r="E258" s="102"/>
      <c r="F258" s="102"/>
      <c r="G258" s="307">
        <v>234836.44</v>
      </c>
      <c r="H258" s="308"/>
      <c r="I258" s="309"/>
      <c r="K258" s="19"/>
      <c r="L258" s="101" t="s">
        <v>242</v>
      </c>
      <c r="M258" s="102"/>
      <c r="N258" s="102"/>
      <c r="O258" s="102"/>
      <c r="P258" s="102"/>
      <c r="Q258" s="307">
        <v>317230.49</v>
      </c>
      <c r="R258" s="308"/>
      <c r="S258" s="309"/>
    </row>
    <row r="259" spans="1:19" ht="20.25" customHeight="1" thickBot="1" x14ac:dyDescent="0.3">
      <c r="A259" s="19"/>
      <c r="B259" s="106" t="s">
        <v>444</v>
      </c>
      <c r="C259" s="107"/>
      <c r="D259" s="107"/>
      <c r="E259" s="107"/>
      <c r="F259" s="107"/>
      <c r="G259" s="307">
        <v>94400.65</v>
      </c>
      <c r="H259" s="308"/>
      <c r="I259" s="309"/>
      <c r="K259" s="19"/>
      <c r="L259" s="106" t="s">
        <v>444</v>
      </c>
      <c r="M259" s="107"/>
      <c r="N259" s="107"/>
      <c r="O259" s="107"/>
      <c r="P259" s="107"/>
      <c r="Q259" s="307">
        <v>171381.94</v>
      </c>
      <c r="R259" s="308"/>
      <c r="S259" s="309"/>
    </row>
    <row r="260" spans="1:19" ht="27" customHeight="1" x14ac:dyDescent="0.25">
      <c r="A260" s="4"/>
      <c r="B260" s="195" t="s">
        <v>572</v>
      </c>
      <c r="C260" s="195"/>
      <c r="D260" s="195"/>
      <c r="E260" s="195"/>
      <c r="F260" s="195"/>
      <c r="G260" s="195"/>
      <c r="H260" s="195"/>
      <c r="I260" s="195"/>
      <c r="K260" s="4"/>
      <c r="L260" s="310"/>
      <c r="M260" s="310"/>
      <c r="N260" s="310"/>
      <c r="O260" s="310"/>
      <c r="P260" s="310"/>
      <c r="Q260" s="310"/>
      <c r="R260" s="310"/>
      <c r="S260" s="310"/>
    </row>
    <row r="261" spans="1:19" x14ac:dyDescent="0.25">
      <c r="E261" s="50"/>
      <c r="I261" s="5"/>
      <c r="O261" s="50"/>
      <c r="S261" s="5"/>
    </row>
    <row r="262" spans="1:19" x14ac:dyDescent="0.25">
      <c r="A262" s="3"/>
      <c r="I262" s="5"/>
      <c r="K262" s="3"/>
      <c r="S262" s="5"/>
    </row>
    <row r="263" spans="1:19" ht="15.75" x14ac:dyDescent="0.25">
      <c r="A263" s="3"/>
      <c r="C263" s="30"/>
      <c r="K263" s="3"/>
      <c r="M263" s="30"/>
    </row>
    <row r="264" spans="1:19" ht="15.75" x14ac:dyDescent="0.25">
      <c r="A264" s="30"/>
      <c r="C264" s="30"/>
      <c r="K264" s="30"/>
      <c r="M264" s="30"/>
    </row>
  </sheetData>
  <mergeCells count="768">
    <mergeCell ref="Q5:R6"/>
    <mergeCell ref="S5:S6"/>
    <mergeCell ref="A7:A8"/>
    <mergeCell ref="B7:F8"/>
    <mergeCell ref="G7:I8"/>
    <mergeCell ref="K7:K8"/>
    <mergeCell ref="L7:P8"/>
    <mergeCell ref="Q7:S8"/>
    <mergeCell ref="A5:A6"/>
    <mergeCell ref="B5:F6"/>
    <mergeCell ref="G5:H6"/>
    <mergeCell ref="I5:I6"/>
    <mergeCell ref="K5:K6"/>
    <mergeCell ref="L5:P6"/>
    <mergeCell ref="B9:F9"/>
    <mergeCell ref="G9:H11"/>
    <mergeCell ref="I9:I10"/>
    <mergeCell ref="L9:P9"/>
    <mergeCell ref="Q9:R11"/>
    <mergeCell ref="S9:S10"/>
    <mergeCell ref="B10:F10"/>
    <mergeCell ref="L10:P10"/>
    <mergeCell ref="B11:F11"/>
    <mergeCell ref="L11:P11"/>
    <mergeCell ref="B16:F16"/>
    <mergeCell ref="L16:P16"/>
    <mergeCell ref="B12:F12"/>
    <mergeCell ref="G12:H12"/>
    <mergeCell ref="L12:P12"/>
    <mergeCell ref="Q12:R12"/>
    <mergeCell ref="B13:F13"/>
    <mergeCell ref="G13:H13"/>
    <mergeCell ref="L13:P13"/>
    <mergeCell ref="Q13:R13"/>
    <mergeCell ref="B14:F14"/>
    <mergeCell ref="G14:H17"/>
    <mergeCell ref="I14:I16"/>
    <mergeCell ref="L14:P14"/>
    <mergeCell ref="B21:F21"/>
    <mergeCell ref="G21:H25"/>
    <mergeCell ref="I21:I25"/>
    <mergeCell ref="L21:P21"/>
    <mergeCell ref="Q14:R17"/>
    <mergeCell ref="B17:F17"/>
    <mergeCell ref="L17:P17"/>
    <mergeCell ref="Q21:R25"/>
    <mergeCell ref="S21:S25"/>
    <mergeCell ref="Q18:R19"/>
    <mergeCell ref="S18:S19"/>
    <mergeCell ref="B19:F19"/>
    <mergeCell ref="L19:P19"/>
    <mergeCell ref="B20:F20"/>
    <mergeCell ref="G20:H20"/>
    <mergeCell ref="L20:P20"/>
    <mergeCell ref="Q20:R20"/>
    <mergeCell ref="B18:F18"/>
    <mergeCell ref="G18:H19"/>
    <mergeCell ref="I18:I19"/>
    <mergeCell ref="L18:P18"/>
    <mergeCell ref="S14:S16"/>
    <mergeCell ref="B15:F15"/>
    <mergeCell ref="L15:P15"/>
    <mergeCell ref="A22:A25"/>
    <mergeCell ref="B22:F22"/>
    <mergeCell ref="K22:K25"/>
    <mergeCell ref="L22:P22"/>
    <mergeCell ref="B23:F23"/>
    <mergeCell ref="L23:P23"/>
    <mergeCell ref="B24:F24"/>
    <mergeCell ref="L24:P24"/>
    <mergeCell ref="B25:F25"/>
    <mergeCell ref="L25:P25"/>
    <mergeCell ref="B28:F28"/>
    <mergeCell ref="G28:H29"/>
    <mergeCell ref="I28:I29"/>
    <mergeCell ref="L28:P28"/>
    <mergeCell ref="Q28:R29"/>
    <mergeCell ref="S28:S29"/>
    <mergeCell ref="B29:F29"/>
    <mergeCell ref="L29:P29"/>
    <mergeCell ref="B26:F26"/>
    <mergeCell ref="G26:H26"/>
    <mergeCell ref="L26:P26"/>
    <mergeCell ref="Q26:R26"/>
    <mergeCell ref="B27:F27"/>
    <mergeCell ref="G27:H27"/>
    <mergeCell ref="L27:P27"/>
    <mergeCell ref="Q27:R27"/>
    <mergeCell ref="B32:F32"/>
    <mergeCell ref="G32:I32"/>
    <mergeCell ref="L32:P32"/>
    <mergeCell ref="Q32:S32"/>
    <mergeCell ref="B33:F33"/>
    <mergeCell ref="G33:I33"/>
    <mergeCell ref="L33:P33"/>
    <mergeCell ref="Q33:S33"/>
    <mergeCell ref="B30:F30"/>
    <mergeCell ref="G30:H30"/>
    <mergeCell ref="L30:P30"/>
    <mergeCell ref="Q30:R30"/>
    <mergeCell ref="B31:F31"/>
    <mergeCell ref="G31:H31"/>
    <mergeCell ref="L31:P31"/>
    <mergeCell ref="Q31:R31"/>
    <mergeCell ref="Q43:R44"/>
    <mergeCell ref="S43:S44"/>
    <mergeCell ref="A45:A46"/>
    <mergeCell ref="B45:F46"/>
    <mergeCell ref="G45:I46"/>
    <mergeCell ref="K45:K46"/>
    <mergeCell ref="L45:P46"/>
    <mergeCell ref="Q45:S46"/>
    <mergeCell ref="B34:F34"/>
    <mergeCell ref="G34:I34"/>
    <mergeCell ref="L34:P34"/>
    <mergeCell ref="Q34:S34"/>
    <mergeCell ref="A43:A44"/>
    <mergeCell ref="B43:F44"/>
    <mergeCell ref="G43:H44"/>
    <mergeCell ref="I43:I44"/>
    <mergeCell ref="K43:K44"/>
    <mergeCell ref="L43:P44"/>
    <mergeCell ref="L35:S35"/>
    <mergeCell ref="B47:F47"/>
    <mergeCell ref="G47:H49"/>
    <mergeCell ref="I47:I48"/>
    <mergeCell ref="L47:P47"/>
    <mergeCell ref="Q47:R49"/>
    <mergeCell ref="S47:S48"/>
    <mergeCell ref="B48:F48"/>
    <mergeCell ref="L48:P48"/>
    <mergeCell ref="B49:F49"/>
    <mergeCell ref="L49:P49"/>
    <mergeCell ref="B54:F54"/>
    <mergeCell ref="L54:P54"/>
    <mergeCell ref="B50:F50"/>
    <mergeCell ref="G50:H50"/>
    <mergeCell ref="L50:P50"/>
    <mergeCell ref="Q50:R50"/>
    <mergeCell ref="B51:F51"/>
    <mergeCell ref="G51:H51"/>
    <mergeCell ref="L51:P51"/>
    <mergeCell ref="Q51:R51"/>
    <mergeCell ref="B52:F52"/>
    <mergeCell ref="G52:H55"/>
    <mergeCell ref="I52:I54"/>
    <mergeCell ref="L52:P52"/>
    <mergeCell ref="B59:F59"/>
    <mergeCell ref="G59:H63"/>
    <mergeCell ref="I59:I63"/>
    <mergeCell ref="L59:P59"/>
    <mergeCell ref="Q52:R55"/>
    <mergeCell ref="B55:F55"/>
    <mergeCell ref="L55:P55"/>
    <mergeCell ref="Q59:R63"/>
    <mergeCell ref="S59:S63"/>
    <mergeCell ref="Q56:R57"/>
    <mergeCell ref="S56:S57"/>
    <mergeCell ref="B57:F57"/>
    <mergeCell ref="L57:P57"/>
    <mergeCell ref="B58:F58"/>
    <mergeCell ref="G58:H58"/>
    <mergeCell ref="L58:P58"/>
    <mergeCell ref="Q58:R58"/>
    <mergeCell ref="B56:F56"/>
    <mergeCell ref="G56:H57"/>
    <mergeCell ref="I56:I57"/>
    <mergeCell ref="L56:P56"/>
    <mergeCell ref="S52:S54"/>
    <mergeCell ref="B53:F53"/>
    <mergeCell ref="L53:P53"/>
    <mergeCell ref="A60:A63"/>
    <mergeCell ref="B60:F60"/>
    <mergeCell ref="K60:K63"/>
    <mergeCell ref="L60:P60"/>
    <mergeCell ref="B61:F61"/>
    <mergeCell ref="L61:P61"/>
    <mergeCell ref="B62:F62"/>
    <mergeCell ref="L62:P62"/>
    <mergeCell ref="B63:F63"/>
    <mergeCell ref="L63:P63"/>
    <mergeCell ref="S66:S67"/>
    <mergeCell ref="B67:F67"/>
    <mergeCell ref="L67:P67"/>
    <mergeCell ref="B64:F64"/>
    <mergeCell ref="G64:H64"/>
    <mergeCell ref="L64:P64"/>
    <mergeCell ref="Q64:R64"/>
    <mergeCell ref="B65:F65"/>
    <mergeCell ref="G65:H65"/>
    <mergeCell ref="L65:P65"/>
    <mergeCell ref="Q65:R65"/>
    <mergeCell ref="B68:F68"/>
    <mergeCell ref="G68:H68"/>
    <mergeCell ref="L68:P68"/>
    <mergeCell ref="Q68:R68"/>
    <mergeCell ref="B69:F69"/>
    <mergeCell ref="G69:H69"/>
    <mergeCell ref="L69:P69"/>
    <mergeCell ref="Q69:R69"/>
    <mergeCell ref="B66:F66"/>
    <mergeCell ref="G66:H67"/>
    <mergeCell ref="I66:I67"/>
    <mergeCell ref="L66:P66"/>
    <mergeCell ref="Q66:R67"/>
    <mergeCell ref="B72:F72"/>
    <mergeCell ref="G72:I72"/>
    <mergeCell ref="L72:P72"/>
    <mergeCell ref="Q72:S72"/>
    <mergeCell ref="B73:I73"/>
    <mergeCell ref="L73:S73"/>
    <mergeCell ref="B70:F70"/>
    <mergeCell ref="G70:I70"/>
    <mergeCell ref="L70:P70"/>
    <mergeCell ref="Q70:S70"/>
    <mergeCell ref="B71:F71"/>
    <mergeCell ref="G71:I71"/>
    <mergeCell ref="L71:P71"/>
    <mergeCell ref="Q71:S71"/>
    <mergeCell ref="Q81:R82"/>
    <mergeCell ref="S81:S82"/>
    <mergeCell ref="A83:A84"/>
    <mergeCell ref="B83:F84"/>
    <mergeCell ref="G83:I84"/>
    <mergeCell ref="K83:K84"/>
    <mergeCell ref="L83:P84"/>
    <mergeCell ref="Q83:S84"/>
    <mergeCell ref="A81:A82"/>
    <mergeCell ref="B81:F82"/>
    <mergeCell ref="G81:H82"/>
    <mergeCell ref="I81:I82"/>
    <mergeCell ref="K81:K82"/>
    <mergeCell ref="L81:P82"/>
    <mergeCell ref="B85:F85"/>
    <mergeCell ref="G85:H87"/>
    <mergeCell ref="I85:I86"/>
    <mergeCell ref="L85:P85"/>
    <mergeCell ref="Q85:R87"/>
    <mergeCell ref="S85:S86"/>
    <mergeCell ref="B86:F86"/>
    <mergeCell ref="L86:P86"/>
    <mergeCell ref="B87:F87"/>
    <mergeCell ref="L87:P87"/>
    <mergeCell ref="B92:F92"/>
    <mergeCell ref="L92:P92"/>
    <mergeCell ref="B88:F88"/>
    <mergeCell ref="G88:H88"/>
    <mergeCell ref="L88:P88"/>
    <mergeCell ref="Q88:R88"/>
    <mergeCell ref="B89:F89"/>
    <mergeCell ref="G89:H89"/>
    <mergeCell ref="L89:P89"/>
    <mergeCell ref="Q89:R89"/>
    <mergeCell ref="B90:F90"/>
    <mergeCell ref="G90:H93"/>
    <mergeCell ref="I90:I92"/>
    <mergeCell ref="L90:P90"/>
    <mergeCell ref="B97:F97"/>
    <mergeCell ref="G97:H101"/>
    <mergeCell ref="I97:I101"/>
    <mergeCell ref="L97:P97"/>
    <mergeCell ref="Q90:R93"/>
    <mergeCell ref="B93:F93"/>
    <mergeCell ref="L93:P93"/>
    <mergeCell ref="Q97:R101"/>
    <mergeCell ref="S97:S101"/>
    <mergeCell ref="Q94:R95"/>
    <mergeCell ref="S94:S95"/>
    <mergeCell ref="B95:F95"/>
    <mergeCell ref="L95:P95"/>
    <mergeCell ref="B96:F96"/>
    <mergeCell ref="G96:H96"/>
    <mergeCell ref="L96:P96"/>
    <mergeCell ref="Q96:R96"/>
    <mergeCell ref="B94:F94"/>
    <mergeCell ref="G94:H95"/>
    <mergeCell ref="I94:I95"/>
    <mergeCell ref="L94:P94"/>
    <mergeCell ref="S90:S92"/>
    <mergeCell ref="B91:F91"/>
    <mergeCell ref="L91:P91"/>
    <mergeCell ref="A98:A101"/>
    <mergeCell ref="B98:F98"/>
    <mergeCell ref="K98:K101"/>
    <mergeCell ref="L98:P98"/>
    <mergeCell ref="B99:F99"/>
    <mergeCell ref="L99:P99"/>
    <mergeCell ref="B100:F100"/>
    <mergeCell ref="L100:P100"/>
    <mergeCell ref="B101:F101"/>
    <mergeCell ref="L101:P101"/>
    <mergeCell ref="B104:F104"/>
    <mergeCell ref="G104:H105"/>
    <mergeCell ref="I104:I105"/>
    <mergeCell ref="L104:P104"/>
    <mergeCell ref="Q104:R105"/>
    <mergeCell ref="S104:S105"/>
    <mergeCell ref="B105:F105"/>
    <mergeCell ref="L105:P105"/>
    <mergeCell ref="B102:F102"/>
    <mergeCell ref="G102:H102"/>
    <mergeCell ref="L102:P102"/>
    <mergeCell ref="Q102:R102"/>
    <mergeCell ref="B103:F103"/>
    <mergeCell ref="G103:H103"/>
    <mergeCell ref="L103:P103"/>
    <mergeCell ref="Q103:R103"/>
    <mergeCell ref="B108:F108"/>
    <mergeCell ref="G108:I108"/>
    <mergeCell ref="L108:P108"/>
    <mergeCell ref="Q108:S108"/>
    <mergeCell ref="B109:F109"/>
    <mergeCell ref="G109:I109"/>
    <mergeCell ref="L109:P109"/>
    <mergeCell ref="Q109:S109"/>
    <mergeCell ref="B106:F106"/>
    <mergeCell ref="G106:H106"/>
    <mergeCell ref="L106:P106"/>
    <mergeCell ref="Q106:R106"/>
    <mergeCell ref="B107:F107"/>
    <mergeCell ref="G107:H107"/>
    <mergeCell ref="L107:P107"/>
    <mergeCell ref="Q107:R107"/>
    <mergeCell ref="B110:F110"/>
    <mergeCell ref="G110:I110"/>
    <mergeCell ref="L110:P110"/>
    <mergeCell ref="Q110:S110"/>
    <mergeCell ref="B111:I111"/>
    <mergeCell ref="A118:A119"/>
    <mergeCell ref="B118:F119"/>
    <mergeCell ref="G118:H119"/>
    <mergeCell ref="I118:I119"/>
    <mergeCell ref="K118:K119"/>
    <mergeCell ref="L118:P119"/>
    <mergeCell ref="Q118:R119"/>
    <mergeCell ref="S118:S119"/>
    <mergeCell ref="L111:S111"/>
    <mergeCell ref="A120:A121"/>
    <mergeCell ref="B120:F121"/>
    <mergeCell ref="G120:I121"/>
    <mergeCell ref="K120:K121"/>
    <mergeCell ref="L120:P121"/>
    <mergeCell ref="Q120:S121"/>
    <mergeCell ref="B122:F122"/>
    <mergeCell ref="G122:H124"/>
    <mergeCell ref="I122:I123"/>
    <mergeCell ref="L122:P122"/>
    <mergeCell ref="Q122:R124"/>
    <mergeCell ref="S122:S123"/>
    <mergeCell ref="B123:F123"/>
    <mergeCell ref="L123:P123"/>
    <mergeCell ref="B124:F124"/>
    <mergeCell ref="L124:P124"/>
    <mergeCell ref="B129:F129"/>
    <mergeCell ref="L129:P129"/>
    <mergeCell ref="B125:F125"/>
    <mergeCell ref="G125:H125"/>
    <mergeCell ref="L125:P125"/>
    <mergeCell ref="Q125:R125"/>
    <mergeCell ref="B126:F126"/>
    <mergeCell ref="G126:H126"/>
    <mergeCell ref="L126:P126"/>
    <mergeCell ref="Q126:R126"/>
    <mergeCell ref="B127:F127"/>
    <mergeCell ref="G127:H130"/>
    <mergeCell ref="I127:I129"/>
    <mergeCell ref="L127:P127"/>
    <mergeCell ref="B134:F134"/>
    <mergeCell ref="G134:H138"/>
    <mergeCell ref="I134:I138"/>
    <mergeCell ref="L134:P134"/>
    <mergeCell ref="Q127:R130"/>
    <mergeCell ref="B130:F130"/>
    <mergeCell ref="L130:P130"/>
    <mergeCell ref="Q134:R138"/>
    <mergeCell ref="S134:S138"/>
    <mergeCell ref="Q131:R132"/>
    <mergeCell ref="S131:S132"/>
    <mergeCell ref="B132:F132"/>
    <mergeCell ref="L132:P132"/>
    <mergeCell ref="B133:F133"/>
    <mergeCell ref="G133:H133"/>
    <mergeCell ref="L133:P133"/>
    <mergeCell ref="Q133:R133"/>
    <mergeCell ref="B131:F131"/>
    <mergeCell ref="G131:H132"/>
    <mergeCell ref="I131:I132"/>
    <mergeCell ref="L131:P131"/>
    <mergeCell ref="S127:S129"/>
    <mergeCell ref="B128:F128"/>
    <mergeCell ref="L128:P128"/>
    <mergeCell ref="A135:A138"/>
    <mergeCell ref="B135:F135"/>
    <mergeCell ref="K135:K138"/>
    <mergeCell ref="L135:P135"/>
    <mergeCell ref="B136:F136"/>
    <mergeCell ref="L136:P136"/>
    <mergeCell ref="B137:F137"/>
    <mergeCell ref="L137:P137"/>
    <mergeCell ref="B138:F138"/>
    <mergeCell ref="L138:P138"/>
    <mergeCell ref="B141:F141"/>
    <mergeCell ref="G141:H142"/>
    <mergeCell ref="I141:I142"/>
    <mergeCell ref="L141:P141"/>
    <mergeCell ref="Q141:R142"/>
    <mergeCell ref="S141:S142"/>
    <mergeCell ref="B142:F142"/>
    <mergeCell ref="L142:P142"/>
    <mergeCell ref="B139:F139"/>
    <mergeCell ref="G139:H139"/>
    <mergeCell ref="L139:P139"/>
    <mergeCell ref="Q139:R139"/>
    <mergeCell ref="B140:F140"/>
    <mergeCell ref="G140:H140"/>
    <mergeCell ref="L140:P140"/>
    <mergeCell ref="Q140:R140"/>
    <mergeCell ref="B145:F145"/>
    <mergeCell ref="G145:I145"/>
    <mergeCell ref="L145:P145"/>
    <mergeCell ref="Q145:S145"/>
    <mergeCell ref="B146:F146"/>
    <mergeCell ref="G146:I146"/>
    <mergeCell ref="L146:P146"/>
    <mergeCell ref="Q146:S146"/>
    <mergeCell ref="B143:F143"/>
    <mergeCell ref="G143:H143"/>
    <mergeCell ref="L143:P143"/>
    <mergeCell ref="Q143:R143"/>
    <mergeCell ref="B144:F144"/>
    <mergeCell ref="G144:H144"/>
    <mergeCell ref="L144:P144"/>
    <mergeCell ref="Q144:R144"/>
    <mergeCell ref="Q154:R155"/>
    <mergeCell ref="S154:S155"/>
    <mergeCell ref="A156:A157"/>
    <mergeCell ref="B156:F157"/>
    <mergeCell ref="G156:I157"/>
    <mergeCell ref="K156:K157"/>
    <mergeCell ref="L156:P157"/>
    <mergeCell ref="Q156:S157"/>
    <mergeCell ref="B147:F147"/>
    <mergeCell ref="G147:I147"/>
    <mergeCell ref="L147:P147"/>
    <mergeCell ref="Q147:S147"/>
    <mergeCell ref="A154:A155"/>
    <mergeCell ref="B154:F155"/>
    <mergeCell ref="G154:H155"/>
    <mergeCell ref="I154:I155"/>
    <mergeCell ref="K154:K155"/>
    <mergeCell ref="L154:P155"/>
    <mergeCell ref="B148:I148"/>
    <mergeCell ref="L148:S148"/>
    <mergeCell ref="B158:F158"/>
    <mergeCell ref="G158:H160"/>
    <mergeCell ref="I158:I159"/>
    <mergeCell ref="L158:P158"/>
    <mergeCell ref="Q158:R160"/>
    <mergeCell ref="S158:S159"/>
    <mergeCell ref="B159:F159"/>
    <mergeCell ref="L159:P159"/>
    <mergeCell ref="B160:F160"/>
    <mergeCell ref="L160:P160"/>
    <mergeCell ref="B165:F165"/>
    <mergeCell ref="L165:P165"/>
    <mergeCell ref="B161:F161"/>
    <mergeCell ref="G161:H161"/>
    <mergeCell ref="L161:P161"/>
    <mergeCell ref="Q161:R161"/>
    <mergeCell ref="B162:F162"/>
    <mergeCell ref="G162:H162"/>
    <mergeCell ref="L162:P162"/>
    <mergeCell ref="Q162:R162"/>
    <mergeCell ref="B163:F163"/>
    <mergeCell ref="G163:H166"/>
    <mergeCell ref="I163:I165"/>
    <mergeCell ref="L163:P163"/>
    <mergeCell ref="B170:F170"/>
    <mergeCell ref="G170:H174"/>
    <mergeCell ref="I170:I174"/>
    <mergeCell ref="L170:P170"/>
    <mergeCell ref="Q163:R166"/>
    <mergeCell ref="B166:F166"/>
    <mergeCell ref="L166:P166"/>
    <mergeCell ref="Q170:R174"/>
    <mergeCell ref="S170:S174"/>
    <mergeCell ref="Q167:R168"/>
    <mergeCell ref="S167:S168"/>
    <mergeCell ref="B168:F168"/>
    <mergeCell ref="L168:P168"/>
    <mergeCell ref="B169:F169"/>
    <mergeCell ref="G169:H169"/>
    <mergeCell ref="L169:P169"/>
    <mergeCell ref="Q169:R169"/>
    <mergeCell ref="B167:F167"/>
    <mergeCell ref="G167:H168"/>
    <mergeCell ref="I167:I168"/>
    <mergeCell ref="L167:P167"/>
    <mergeCell ref="S163:S165"/>
    <mergeCell ref="B164:F164"/>
    <mergeCell ref="L164:P164"/>
    <mergeCell ref="A171:A174"/>
    <mergeCell ref="B171:F171"/>
    <mergeCell ref="K171:K174"/>
    <mergeCell ref="L171:P171"/>
    <mergeCell ref="B172:F172"/>
    <mergeCell ref="L172:P172"/>
    <mergeCell ref="B173:F173"/>
    <mergeCell ref="L173:P173"/>
    <mergeCell ref="B174:F174"/>
    <mergeCell ref="L174:P174"/>
    <mergeCell ref="B177:F177"/>
    <mergeCell ref="G177:H178"/>
    <mergeCell ref="I177:I178"/>
    <mergeCell ref="L177:P177"/>
    <mergeCell ref="Q177:R178"/>
    <mergeCell ref="S177:S178"/>
    <mergeCell ref="B178:F178"/>
    <mergeCell ref="L178:P178"/>
    <mergeCell ref="B175:F175"/>
    <mergeCell ref="G175:H175"/>
    <mergeCell ref="L175:P175"/>
    <mergeCell ref="Q175:R175"/>
    <mergeCell ref="B176:F176"/>
    <mergeCell ref="G176:H176"/>
    <mergeCell ref="L176:P176"/>
    <mergeCell ref="Q176:R176"/>
    <mergeCell ref="B181:F181"/>
    <mergeCell ref="G181:I181"/>
    <mergeCell ref="L181:P181"/>
    <mergeCell ref="Q181:S181"/>
    <mergeCell ref="B182:F182"/>
    <mergeCell ref="G182:I182"/>
    <mergeCell ref="L182:P182"/>
    <mergeCell ref="Q182:S182"/>
    <mergeCell ref="B179:F179"/>
    <mergeCell ref="G179:H179"/>
    <mergeCell ref="L179:P179"/>
    <mergeCell ref="Q179:R179"/>
    <mergeCell ref="B180:F180"/>
    <mergeCell ref="G180:H180"/>
    <mergeCell ref="L180:P180"/>
    <mergeCell ref="Q180:R180"/>
    <mergeCell ref="B183:F183"/>
    <mergeCell ref="G183:I183"/>
    <mergeCell ref="L183:P183"/>
    <mergeCell ref="Q183:S183"/>
    <mergeCell ref="L184:S184"/>
    <mergeCell ref="A193:A194"/>
    <mergeCell ref="B193:F194"/>
    <mergeCell ref="G193:H194"/>
    <mergeCell ref="I193:I194"/>
    <mergeCell ref="K193:K194"/>
    <mergeCell ref="L193:P194"/>
    <mergeCell ref="Q193:R194"/>
    <mergeCell ref="S193:S194"/>
    <mergeCell ref="B184:I184"/>
    <mergeCell ref="A195:A196"/>
    <mergeCell ref="B195:F196"/>
    <mergeCell ref="G195:I196"/>
    <mergeCell ref="K195:K196"/>
    <mergeCell ref="L195:P196"/>
    <mergeCell ref="Q195:S196"/>
    <mergeCell ref="B197:F197"/>
    <mergeCell ref="G197:H199"/>
    <mergeCell ref="I197:I198"/>
    <mergeCell ref="L197:P197"/>
    <mergeCell ref="Q197:R199"/>
    <mergeCell ref="S197:S198"/>
    <mergeCell ref="B198:F198"/>
    <mergeCell ref="L198:P198"/>
    <mergeCell ref="B199:F199"/>
    <mergeCell ref="L199:P199"/>
    <mergeCell ref="B204:F204"/>
    <mergeCell ref="L204:P204"/>
    <mergeCell ref="B200:F200"/>
    <mergeCell ref="G200:H200"/>
    <mergeCell ref="L200:P200"/>
    <mergeCell ref="Q200:R200"/>
    <mergeCell ref="B201:F201"/>
    <mergeCell ref="G201:H201"/>
    <mergeCell ref="L201:P201"/>
    <mergeCell ref="Q201:R201"/>
    <mergeCell ref="B202:F202"/>
    <mergeCell ref="G202:H205"/>
    <mergeCell ref="I202:I204"/>
    <mergeCell ref="L202:P202"/>
    <mergeCell ref="B209:F209"/>
    <mergeCell ref="G209:H213"/>
    <mergeCell ref="I209:I213"/>
    <mergeCell ref="L209:P209"/>
    <mergeCell ref="Q202:R205"/>
    <mergeCell ref="B205:F205"/>
    <mergeCell ref="L205:P205"/>
    <mergeCell ref="Q209:R213"/>
    <mergeCell ref="S209:S213"/>
    <mergeCell ref="Q206:R207"/>
    <mergeCell ref="S206:S207"/>
    <mergeCell ref="B207:F207"/>
    <mergeCell ref="L207:P207"/>
    <mergeCell ref="B208:F208"/>
    <mergeCell ref="G208:H208"/>
    <mergeCell ref="L208:P208"/>
    <mergeCell ref="Q208:R208"/>
    <mergeCell ref="B206:F206"/>
    <mergeCell ref="G206:H207"/>
    <mergeCell ref="I206:I207"/>
    <mergeCell ref="L206:P206"/>
    <mergeCell ref="S202:S204"/>
    <mergeCell ref="B203:F203"/>
    <mergeCell ref="L203:P203"/>
    <mergeCell ref="A210:A213"/>
    <mergeCell ref="B210:F210"/>
    <mergeCell ref="K210:K213"/>
    <mergeCell ref="L210:P210"/>
    <mergeCell ref="B211:F211"/>
    <mergeCell ref="L211:P211"/>
    <mergeCell ref="B212:F212"/>
    <mergeCell ref="L212:P212"/>
    <mergeCell ref="B213:F213"/>
    <mergeCell ref="L213:P213"/>
    <mergeCell ref="B216:F216"/>
    <mergeCell ref="G216:H217"/>
    <mergeCell ref="I216:I217"/>
    <mergeCell ref="L216:P216"/>
    <mergeCell ref="Q216:R217"/>
    <mergeCell ref="S216:S217"/>
    <mergeCell ref="B217:F217"/>
    <mergeCell ref="L217:P217"/>
    <mergeCell ref="B214:F214"/>
    <mergeCell ref="G214:H214"/>
    <mergeCell ref="L214:P214"/>
    <mergeCell ref="Q214:R214"/>
    <mergeCell ref="B215:F215"/>
    <mergeCell ref="G215:H215"/>
    <mergeCell ref="L215:P215"/>
    <mergeCell ref="Q215:R215"/>
    <mergeCell ref="B220:F220"/>
    <mergeCell ref="G220:I220"/>
    <mergeCell ref="L220:P220"/>
    <mergeCell ref="Q220:S220"/>
    <mergeCell ref="B221:F221"/>
    <mergeCell ref="G221:I221"/>
    <mergeCell ref="L221:P221"/>
    <mergeCell ref="Q221:S221"/>
    <mergeCell ref="B218:F218"/>
    <mergeCell ref="G218:H218"/>
    <mergeCell ref="L218:P218"/>
    <mergeCell ref="Q218:R218"/>
    <mergeCell ref="B219:F219"/>
    <mergeCell ref="G219:H219"/>
    <mergeCell ref="L219:P219"/>
    <mergeCell ref="Q219:R219"/>
    <mergeCell ref="Q230:R231"/>
    <mergeCell ref="S230:S231"/>
    <mergeCell ref="A232:A233"/>
    <mergeCell ref="B232:F233"/>
    <mergeCell ref="G232:I233"/>
    <mergeCell ref="K232:K233"/>
    <mergeCell ref="L232:P233"/>
    <mergeCell ref="Q232:S233"/>
    <mergeCell ref="B222:F222"/>
    <mergeCell ref="G222:I222"/>
    <mergeCell ref="L222:P222"/>
    <mergeCell ref="Q222:S222"/>
    <mergeCell ref="A230:A231"/>
    <mergeCell ref="B230:F231"/>
    <mergeCell ref="G230:H231"/>
    <mergeCell ref="I230:I231"/>
    <mergeCell ref="K230:K231"/>
    <mergeCell ref="L230:P231"/>
    <mergeCell ref="B223:I223"/>
    <mergeCell ref="B234:F234"/>
    <mergeCell ref="G234:H236"/>
    <mergeCell ref="I234:I235"/>
    <mergeCell ref="L234:P234"/>
    <mergeCell ref="Q234:R236"/>
    <mergeCell ref="S234:S235"/>
    <mergeCell ref="B235:F235"/>
    <mergeCell ref="L235:P235"/>
    <mergeCell ref="B236:F236"/>
    <mergeCell ref="L236:P236"/>
    <mergeCell ref="B241:F241"/>
    <mergeCell ref="L241:P241"/>
    <mergeCell ref="B237:F237"/>
    <mergeCell ref="G237:H237"/>
    <mergeCell ref="L237:P237"/>
    <mergeCell ref="Q237:R237"/>
    <mergeCell ref="B238:F238"/>
    <mergeCell ref="G238:H238"/>
    <mergeCell ref="L238:P238"/>
    <mergeCell ref="Q238:R238"/>
    <mergeCell ref="B239:F239"/>
    <mergeCell ref="G239:H242"/>
    <mergeCell ref="I239:I241"/>
    <mergeCell ref="L239:P239"/>
    <mergeCell ref="B246:F246"/>
    <mergeCell ref="G246:H250"/>
    <mergeCell ref="I246:I250"/>
    <mergeCell ref="L246:P246"/>
    <mergeCell ref="Q239:R242"/>
    <mergeCell ref="B242:F242"/>
    <mergeCell ref="L242:P242"/>
    <mergeCell ref="Q246:R250"/>
    <mergeCell ref="S246:S250"/>
    <mergeCell ref="Q243:R244"/>
    <mergeCell ref="S243:S244"/>
    <mergeCell ref="B244:F244"/>
    <mergeCell ref="L244:P244"/>
    <mergeCell ref="B245:F245"/>
    <mergeCell ref="G245:H245"/>
    <mergeCell ref="L245:P245"/>
    <mergeCell ref="Q245:R245"/>
    <mergeCell ref="B243:F243"/>
    <mergeCell ref="G243:H244"/>
    <mergeCell ref="I243:I244"/>
    <mergeCell ref="L243:P243"/>
    <mergeCell ref="S239:S241"/>
    <mergeCell ref="B240:F240"/>
    <mergeCell ref="L240:P240"/>
    <mergeCell ref="A247:A250"/>
    <mergeCell ref="B247:F247"/>
    <mergeCell ref="K247:K250"/>
    <mergeCell ref="L247:P247"/>
    <mergeCell ref="B248:F248"/>
    <mergeCell ref="L248:P248"/>
    <mergeCell ref="B249:F249"/>
    <mergeCell ref="L249:P249"/>
    <mergeCell ref="B250:F250"/>
    <mergeCell ref="L250:P250"/>
    <mergeCell ref="S253:S254"/>
    <mergeCell ref="B254:F254"/>
    <mergeCell ref="L254:P254"/>
    <mergeCell ref="B251:F251"/>
    <mergeCell ref="G251:H251"/>
    <mergeCell ref="L251:P251"/>
    <mergeCell ref="Q251:R251"/>
    <mergeCell ref="B252:F252"/>
    <mergeCell ref="G252:H252"/>
    <mergeCell ref="L252:P252"/>
    <mergeCell ref="Q252:R252"/>
    <mergeCell ref="B255:F255"/>
    <mergeCell ref="G255:H255"/>
    <mergeCell ref="L255:P255"/>
    <mergeCell ref="Q255:R255"/>
    <mergeCell ref="B256:F256"/>
    <mergeCell ref="G256:H256"/>
    <mergeCell ref="L256:P256"/>
    <mergeCell ref="Q256:R256"/>
    <mergeCell ref="B253:F253"/>
    <mergeCell ref="G253:H254"/>
    <mergeCell ref="I253:I254"/>
    <mergeCell ref="L253:P253"/>
    <mergeCell ref="Q253:R254"/>
    <mergeCell ref="B259:F259"/>
    <mergeCell ref="G259:I259"/>
    <mergeCell ref="L259:P259"/>
    <mergeCell ref="Q259:S259"/>
    <mergeCell ref="L260:S260"/>
    <mergeCell ref="B257:F257"/>
    <mergeCell ref="G257:I257"/>
    <mergeCell ref="L257:P257"/>
    <mergeCell ref="Q257:S257"/>
    <mergeCell ref="B258:F258"/>
    <mergeCell ref="G258:I258"/>
    <mergeCell ref="L258:P258"/>
    <mergeCell ref="Q258:S258"/>
    <mergeCell ref="B260:I26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17</vt:i4>
      </vt:variant>
    </vt:vector>
  </HeadingPairs>
  <TitlesOfParts>
    <vt:vector size="17" baseType="lpstr">
      <vt:lpstr>Загальний</vt:lpstr>
      <vt:lpstr>Лист1</vt:lpstr>
      <vt:lpstr>Лист2</vt:lpstr>
      <vt:lpstr>Лист3</vt:lpstr>
      <vt:lpstr>Лист4</vt:lpstr>
      <vt:lpstr>Лист5</vt:lpstr>
      <vt:lpstr>Лист6</vt:lpstr>
      <vt:lpstr>Лист7</vt:lpstr>
      <vt:lpstr>Лист8</vt:lpstr>
      <vt:lpstr>Лист9</vt:lpstr>
      <vt:lpstr>Лист10</vt:lpstr>
      <vt:lpstr>Лист11</vt:lpstr>
      <vt:lpstr>Лист12</vt:lpstr>
      <vt:lpstr>Лист13</vt:lpstr>
      <vt:lpstr>Лист14</vt:lpstr>
      <vt:lpstr>Лист15</vt:lpstr>
      <vt:lpstr>Лист16_гуртожитки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2026-02-02T14:09:23Z</dcterms:modified>
</cp:coreProperties>
</file>